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1"/>
  <workbookPr/>
  <mc:AlternateContent xmlns:mc="http://schemas.openxmlformats.org/markup-compatibility/2006">
    <mc:Choice Requires="x15">
      <x15ac:absPath xmlns:x15ac="http://schemas.microsoft.com/office/spreadsheetml/2010/11/ac" url="/Volumes/Juano-SSD/Euclid Chemical - Toxement/Diseños - 2022/Noviembre/Campaña de protección contra el fuego/Ayudas de Calculo - Sellos cortafuego/"/>
    </mc:Choice>
  </mc:AlternateContent>
  <xr:revisionPtr revIDLastSave="0" documentId="8_{6740FC58-CC94-B74D-A420-19E6AFB4C80B}" xr6:coauthVersionLast="47" xr6:coauthVersionMax="47" xr10:uidLastSave="{00000000-0000-0000-0000-000000000000}"/>
  <workbookProtection workbookAlgorithmName="SHA-512" workbookHashValue="04qKNllhNebJ8Fwd4yyurFyvGf6GlqE6DONdWSj1Ze7MjnQ76sQ58J+wmyVWc3+tcldlTWWREP0SanHxxIpp3Q==" workbookSaltValue="mPzhimCMLsV1OO1myBS2Bg==" workbookSpinCount="100000" lockStructure="1"/>
  <bookViews>
    <workbookView xWindow="0" yWindow="500" windowWidth="34660" windowHeight="26520" xr2:uid="{00000000-000D-0000-FFFF-FFFF00000000}"/>
  </bookViews>
  <sheets>
    <sheet name="TUBERIAS" sheetId="1" r:id="rId1"/>
    <sheet name="JUNTAS" sheetId="3" r:id="rId2"/>
    <sheet name="LISTAS" sheetId="4" state="hidden" r:id="rId3"/>
  </sheets>
  <definedNames>
    <definedName name="_xlnm._FilterDatabase" localSheetId="0" hidden="1">TUBERIAS!$D$22:$E$33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3" l="1"/>
  <c r="C12" i="3" s="1"/>
  <c r="D25" i="1"/>
  <c r="D26" i="1"/>
  <c r="E26" i="1" s="1"/>
  <c r="O26" i="1" s="1"/>
  <c r="D27" i="1"/>
  <c r="E27" i="1" s="1"/>
  <c r="O27" i="1" s="1"/>
  <c r="D28" i="1"/>
  <c r="E28" i="1" s="1"/>
  <c r="O28" i="1" s="1"/>
  <c r="D29" i="1"/>
  <c r="E29" i="1" s="1"/>
  <c r="O29" i="1" s="1"/>
  <c r="D30" i="1"/>
  <c r="E30" i="1" s="1"/>
  <c r="O30" i="1" s="1"/>
  <c r="D31" i="1"/>
  <c r="E31" i="1" s="1"/>
  <c r="O31" i="1" s="1"/>
  <c r="D32" i="1"/>
  <c r="E32" i="1" s="1"/>
  <c r="O32" i="1" s="1"/>
  <c r="D33" i="1"/>
  <c r="E33" i="1" s="1"/>
  <c r="O33" i="1" s="1"/>
  <c r="D34" i="1"/>
  <c r="E34" i="1" s="1"/>
  <c r="O34" i="1" s="1"/>
  <c r="D35" i="1"/>
  <c r="E35" i="1" s="1"/>
  <c r="O35" i="1" s="1"/>
  <c r="D36" i="1"/>
  <c r="E36" i="1" s="1"/>
  <c r="O36" i="1" s="1"/>
  <c r="D37" i="1"/>
  <c r="E37" i="1" s="1"/>
  <c r="O37" i="1" s="1"/>
  <c r="D38" i="1"/>
  <c r="E38" i="1" s="1"/>
  <c r="O38" i="1" s="1"/>
  <c r="Q38" i="1" s="1"/>
  <c r="D39" i="1"/>
  <c r="E39" i="1" s="1"/>
  <c r="O39" i="1" s="1"/>
  <c r="D40" i="1"/>
  <c r="E40" i="1" s="1"/>
  <c r="O40" i="1" s="1"/>
  <c r="D41" i="1"/>
  <c r="E41" i="1" s="1"/>
  <c r="O41" i="1" s="1"/>
  <c r="D42" i="1"/>
  <c r="E42" i="1" s="1"/>
  <c r="O42" i="1" s="1"/>
  <c r="D43" i="1"/>
  <c r="E43" i="1" s="1"/>
  <c r="O43" i="1" s="1"/>
  <c r="D44" i="1"/>
  <c r="E44" i="1" s="1"/>
  <c r="O44" i="1" s="1"/>
  <c r="D45" i="1"/>
  <c r="E45" i="1" s="1"/>
  <c r="O45" i="1" s="1"/>
  <c r="D46" i="1"/>
  <c r="E46" i="1" s="1"/>
  <c r="O46" i="1" s="1"/>
  <c r="D47" i="1"/>
  <c r="E47" i="1" s="1"/>
  <c r="O47" i="1" s="1"/>
  <c r="D48" i="1"/>
  <c r="E48" i="1" s="1"/>
  <c r="O48" i="1" s="1"/>
  <c r="D49" i="1"/>
  <c r="E49" i="1" s="1"/>
  <c r="O49" i="1" s="1"/>
  <c r="D50" i="1"/>
  <c r="E50" i="1" s="1"/>
  <c r="O50" i="1" s="1"/>
  <c r="E25" i="1"/>
  <c r="O25" i="1" s="1"/>
  <c r="D24" i="1"/>
  <c r="E24" i="1" s="1"/>
  <c r="O24" i="1" s="1"/>
  <c r="P7" i="4"/>
  <c r="P6" i="4"/>
  <c r="P5" i="4"/>
  <c r="P4" i="4"/>
  <c r="P3" i="4"/>
  <c r="P19" i="4"/>
  <c r="P18" i="4"/>
  <c r="P17" i="4"/>
  <c r="P16" i="4"/>
  <c r="P15" i="4"/>
  <c r="P14" i="4"/>
  <c r="P13" i="4"/>
  <c r="P12" i="4"/>
  <c r="P11" i="4"/>
  <c r="P10" i="4"/>
  <c r="P9" i="4"/>
  <c r="P8" i="4"/>
  <c r="T22" i="1"/>
  <c r="D16" i="4"/>
  <c r="D22" i="1" s="1"/>
  <c r="E22" i="1" s="1"/>
  <c r="O22" i="1" s="1"/>
  <c r="D15" i="4"/>
  <c r="D14" i="4"/>
  <c r="D13" i="4"/>
  <c r="D23" i="1" s="1"/>
  <c r="E23" i="1" s="1"/>
  <c r="O23" i="1" s="1"/>
  <c r="D12" i="4"/>
  <c r="T50" i="1"/>
  <c r="T49" i="1"/>
  <c r="T48" i="1"/>
  <c r="T47" i="1"/>
  <c r="T46" i="1"/>
  <c r="T45" i="1"/>
  <c r="T44" i="1"/>
  <c r="T43" i="1"/>
  <c r="T42" i="1"/>
  <c r="T41" i="1"/>
  <c r="T40" i="1"/>
  <c r="T39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D10" i="3"/>
  <c r="D12" i="3" s="1"/>
  <c r="Q41" i="1" l="1"/>
  <c r="Q24" i="1"/>
  <c r="Q30" i="1"/>
  <c r="Q36" i="1"/>
  <c r="Q44" i="1"/>
  <c r="Q25" i="1"/>
  <c r="Q47" i="1"/>
  <c r="Q40" i="1"/>
  <c r="Q46" i="1"/>
  <c r="Q28" i="1"/>
  <c r="Q37" i="1"/>
  <c r="Q35" i="1"/>
  <c r="Q23" i="1"/>
  <c r="Q50" i="1"/>
  <c r="Q43" i="1"/>
  <c r="Q34" i="1"/>
  <c r="Q27" i="1"/>
  <c r="Q49" i="1"/>
  <c r="Q33" i="1"/>
  <c r="Q45" i="1"/>
  <c r="Q39" i="1"/>
  <c r="Q29" i="1"/>
  <c r="Q31" i="1"/>
  <c r="Q48" i="1"/>
  <c r="Q42" i="1"/>
  <c r="Q32" i="1"/>
  <c r="Q26" i="1"/>
  <c r="Q22" i="1"/>
</calcChain>
</file>

<file path=xl/sharedStrings.xml><?xml version="1.0" encoding="utf-8"?>
<sst xmlns="http://schemas.openxmlformats.org/spreadsheetml/2006/main" count="131" uniqueCount="109">
  <si>
    <t>Concreto</t>
  </si>
  <si>
    <t>Empaque</t>
  </si>
  <si>
    <t>Salchicha (ml)</t>
  </si>
  <si>
    <t>Cartucho (ml)</t>
  </si>
  <si>
    <t>Ancho de junta (mm)</t>
  </si>
  <si>
    <t>Profundidad      (mm)</t>
  </si>
  <si>
    <t>Desperdicio        (%)</t>
  </si>
  <si>
    <t>Total unidades  (Unid)</t>
  </si>
  <si>
    <t>MATERIAL</t>
  </si>
  <si>
    <t>Tubo PVC</t>
  </si>
  <si>
    <t>Tubo Metálico</t>
  </si>
  <si>
    <t>Tubo Cobre</t>
  </si>
  <si>
    <t>Tubo Aluminio</t>
  </si>
  <si>
    <t>DIÁMETRO</t>
  </si>
  <si>
    <t>CARAS</t>
  </si>
  <si>
    <t>PENETRACION EN</t>
  </si>
  <si>
    <t>MATERIAL A PENETRAR</t>
  </si>
  <si>
    <t>Mamposteria</t>
  </si>
  <si>
    <t>Bloque</t>
  </si>
  <si>
    <t>Ladrillo</t>
  </si>
  <si>
    <t>Drywall</t>
  </si>
  <si>
    <t>Otro</t>
  </si>
  <si>
    <t>ESPACIO ANULAR (cm)</t>
  </si>
  <si>
    <t>Numero de penetraciones</t>
  </si>
  <si>
    <t>Tipo de Empaque</t>
  </si>
  <si>
    <t>Salchicha 600 ml</t>
  </si>
  <si>
    <t>Cubeta 19 Lts</t>
  </si>
  <si>
    <t>LTS</t>
  </si>
  <si>
    <t>Tipo de Tubería</t>
  </si>
  <si>
    <t>Diámetro (mm)</t>
  </si>
  <si>
    <t>Proyecto:</t>
  </si>
  <si>
    <t>Fecha:</t>
  </si>
  <si>
    <t>Ciudad:</t>
  </si>
  <si>
    <t>1/2"</t>
  </si>
  <si>
    <t>1"</t>
  </si>
  <si>
    <t>2"</t>
  </si>
  <si>
    <t>3"</t>
  </si>
  <si>
    <t>4"</t>
  </si>
  <si>
    <t>5"</t>
  </si>
  <si>
    <t>1 1/2"</t>
  </si>
  <si>
    <t>1/4"</t>
  </si>
  <si>
    <t>3/8"</t>
  </si>
  <si>
    <t>5/8"</t>
  </si>
  <si>
    <t>3/4"</t>
  </si>
  <si>
    <t>7/8"</t>
  </si>
  <si>
    <t>1 1/4"</t>
  </si>
  <si>
    <t>6"</t>
  </si>
  <si>
    <t>Muro</t>
  </si>
  <si>
    <t>Losa</t>
  </si>
  <si>
    <t>Observaciones</t>
  </si>
  <si>
    <t>Cartucho 310 ml</t>
  </si>
  <si>
    <t>Diámetro (Pulg)</t>
  </si>
  <si>
    <t>Profundidad del sello (mm)</t>
  </si>
  <si>
    <t>ELEMENTO CONSTRUCTIVO</t>
  </si>
  <si>
    <t>Tipo</t>
  </si>
  <si>
    <t>Caras de protección</t>
  </si>
  <si>
    <t>Material de respaldo</t>
  </si>
  <si>
    <t>PENETRACIÓN</t>
  </si>
  <si>
    <t>Tiempo de PCF:</t>
  </si>
  <si>
    <t>Material</t>
  </si>
  <si>
    <t>Espacio Anular (mm)</t>
  </si>
  <si>
    <t>NULLIFIRE FS702</t>
  </si>
  <si>
    <t>NULLIFIRE FS703</t>
  </si>
  <si>
    <t>NULLIFIRE FS700</t>
  </si>
  <si>
    <t>NULLIFIRE FS709</t>
  </si>
  <si>
    <t>NULLIFIRE FF197</t>
  </si>
  <si>
    <t>Bandeja  Portacable</t>
  </si>
  <si>
    <t>Ducto metálico</t>
  </si>
  <si>
    <t>Sellasil soporte</t>
  </si>
  <si>
    <t>Lana de roca mineral</t>
  </si>
  <si>
    <t>Producto</t>
  </si>
  <si>
    <t>cm3</t>
  </si>
  <si>
    <t>Volumen de sello (cm3)</t>
  </si>
  <si>
    <t>Certificación</t>
  </si>
  <si>
    <t>BPC 20 x 15 cm</t>
  </si>
  <si>
    <t>BPC 35 x 15 cm</t>
  </si>
  <si>
    <t>BPC 45 x 15 cm</t>
  </si>
  <si>
    <t>BPC 54 x 15 cm</t>
  </si>
  <si>
    <t>BPC 80 x 15 cm</t>
  </si>
  <si>
    <t>DM 6x4</t>
  </si>
  <si>
    <t>DM 8x4</t>
  </si>
  <si>
    <t>DM 10x6</t>
  </si>
  <si>
    <t>DM 12x8</t>
  </si>
  <si>
    <t>DM 14x12</t>
  </si>
  <si>
    <t>DM 16x16</t>
  </si>
  <si>
    <t>DM 16x10</t>
  </si>
  <si>
    <t>DM 22x18</t>
  </si>
  <si>
    <t>DM 22x24</t>
  </si>
  <si>
    <t>DM 30x12</t>
  </si>
  <si>
    <t>DM 38x14</t>
  </si>
  <si>
    <t>DM 60x12</t>
  </si>
  <si>
    <t xml:space="preserve">DIMENSIONES </t>
  </si>
  <si>
    <t>Perimetro Total (cm)</t>
  </si>
  <si>
    <t>Unidades</t>
  </si>
  <si>
    <t>Ancho  (cm)</t>
  </si>
  <si>
    <t>CF 5364</t>
  </si>
  <si>
    <t>f5</t>
  </si>
  <si>
    <t xml:space="preserve">MATERIAL DE RESPALDO </t>
  </si>
  <si>
    <t>ÁREA INTERIOR</t>
  </si>
  <si>
    <t>TIPO DE EMPAQUE</t>
  </si>
  <si>
    <t>SELLO</t>
  </si>
  <si>
    <t>ANCHO DE PENETRACIÓN (cm)</t>
  </si>
  <si>
    <t>PROFUNDIDAD SELLO (mm)</t>
  </si>
  <si>
    <t>CÁLCULO DE CANTIDADES DE SELLO CORTAFUEGO</t>
  </si>
  <si>
    <t>CARACTERÍSTICAS DEL SELLO</t>
  </si>
  <si>
    <t>CÁLCULOS</t>
  </si>
  <si>
    <t>CÁLCULO DE CANTIDADES PARA SELLO DE JUNTAS</t>
  </si>
  <si>
    <t>Longitud              (m)</t>
  </si>
  <si>
    <t>Cantidad de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</si>
</sst>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.0_);_(* \(#,##0.0\);_(* &quot;-&quot;??_);_(@_)"/>
    <numFmt numFmtId="166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18">
    <xf numFmtId="0" fontId="0" fillId="0" borderId="0" xfId="0"/>
    <xf numFmtId="0" fontId="0" fillId="3" borderId="14" xfId="0" applyFill="1" applyBorder="1"/>
    <xf numFmtId="0" fontId="1" fillId="3" borderId="1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 applyProtection="1">
      <alignment horizontal="center"/>
      <protection hidden="1"/>
    </xf>
    <xf numFmtId="166" fontId="5" fillId="4" borderId="1" xfId="0" applyNumberFormat="1" applyFont="1" applyFill="1" applyBorder="1" applyProtection="1">
      <protection hidden="1"/>
    </xf>
    <xf numFmtId="0" fontId="5" fillId="4" borderId="21" xfId="0" applyFont="1" applyFill="1" applyBorder="1" applyAlignment="1" applyProtection="1">
      <alignment horizontal="center"/>
      <protection hidden="1"/>
    </xf>
    <xf numFmtId="166" fontId="5" fillId="4" borderId="21" xfId="0" applyNumberFormat="1" applyFont="1" applyFill="1" applyBorder="1" applyProtection="1">
      <protection hidden="1"/>
    </xf>
    <xf numFmtId="0" fontId="0" fillId="3" borderId="14" xfId="0" applyFill="1" applyBorder="1" applyProtection="1">
      <protection hidden="1"/>
    </xf>
    <xf numFmtId="2" fontId="5" fillId="4" borderId="1" xfId="0" applyNumberFormat="1" applyFont="1" applyFill="1" applyBorder="1" applyAlignment="1" applyProtection="1">
      <alignment horizontal="center"/>
      <protection hidden="1"/>
    </xf>
    <xf numFmtId="2" fontId="5" fillId="4" borderId="19" xfId="0" applyNumberFormat="1" applyFont="1" applyFill="1" applyBorder="1" applyProtection="1">
      <protection hidden="1"/>
    </xf>
    <xf numFmtId="2" fontId="5" fillId="4" borderId="22" xfId="0" applyNumberFormat="1" applyFont="1" applyFill="1" applyBorder="1" applyProtection="1">
      <protection hidden="1"/>
    </xf>
    <xf numFmtId="0" fontId="0" fillId="0" borderId="0" xfId="0" applyAlignment="1">
      <alignment horizontal="center"/>
    </xf>
    <xf numFmtId="0" fontId="0" fillId="0" borderId="35" xfId="0" applyBorder="1"/>
    <xf numFmtId="0" fontId="0" fillId="0" borderId="9" xfId="0" applyBorder="1"/>
    <xf numFmtId="0" fontId="0" fillId="0" borderId="31" xfId="0" applyBorder="1"/>
    <xf numFmtId="0" fontId="0" fillId="0" borderId="30" xfId="0" applyBorder="1"/>
    <xf numFmtId="0" fontId="0" fillId="0" borderId="32" xfId="0" applyBorder="1"/>
    <xf numFmtId="0" fontId="4" fillId="6" borderId="18" xfId="0" applyFont="1" applyFill="1" applyBorder="1" applyAlignment="1" applyProtection="1">
      <alignment horizontal="center" vertical="center"/>
      <protection hidden="1"/>
    </xf>
    <xf numFmtId="0" fontId="4" fillId="6" borderId="1" xfId="0" applyFont="1" applyFill="1" applyBorder="1" applyAlignment="1" applyProtection="1">
      <alignment horizontal="center" vertical="center" wrapText="1"/>
      <protection hidden="1"/>
    </xf>
    <xf numFmtId="0" fontId="4" fillId="6" borderId="19" xfId="0" applyFont="1" applyFill="1" applyBorder="1" applyAlignment="1" applyProtection="1">
      <alignment horizontal="center" vertical="center" wrapText="1"/>
      <protection hidden="1"/>
    </xf>
    <xf numFmtId="0" fontId="4" fillId="6" borderId="14" xfId="0" applyFont="1" applyFill="1" applyBorder="1" applyAlignment="1" applyProtection="1">
      <alignment horizontal="center" vertical="center" wrapText="1"/>
      <protection hidden="1"/>
    </xf>
    <xf numFmtId="0" fontId="4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8" xfId="0" applyFont="1" applyFill="1" applyBorder="1" applyAlignment="1" applyProtection="1">
      <alignment horizontal="center" vertical="center" wrapText="1"/>
      <protection hidden="1"/>
    </xf>
    <xf numFmtId="0" fontId="4" fillId="6" borderId="19" xfId="0" applyFont="1" applyFill="1" applyBorder="1" applyAlignment="1" applyProtection="1">
      <alignment horizontal="center" vertical="center"/>
      <protection hidden="1"/>
    </xf>
    <xf numFmtId="0" fontId="1" fillId="0" borderId="2" xfId="0" applyFont="1" applyBorder="1" applyProtection="1">
      <protection hidden="1"/>
    </xf>
    <xf numFmtId="0" fontId="5" fillId="3" borderId="18" xfId="0" applyFont="1" applyFill="1" applyBorder="1" applyProtection="1">
      <protection locked="0" hidden="1"/>
    </xf>
    <xf numFmtId="0" fontId="5" fillId="3" borderId="1" xfId="0" applyFont="1" applyFill="1" applyBorder="1" applyAlignment="1" applyProtection="1">
      <alignment horizontal="center"/>
      <protection locked="0" hidden="1"/>
    </xf>
    <xf numFmtId="0" fontId="5" fillId="3" borderId="20" xfId="0" applyFont="1" applyFill="1" applyBorder="1" applyProtection="1">
      <protection locked="0" hidden="1"/>
    </xf>
    <xf numFmtId="0" fontId="5" fillId="3" borderId="21" xfId="0" applyFont="1" applyFill="1" applyBorder="1" applyAlignment="1" applyProtection="1">
      <alignment horizontal="center"/>
      <protection locked="0" hidden="1"/>
    </xf>
    <xf numFmtId="0" fontId="8" fillId="6" borderId="5" xfId="0" applyFont="1" applyFill="1" applyBorder="1" applyAlignment="1" applyProtection="1">
      <alignment horizontal="center"/>
      <protection hidden="1"/>
    </xf>
    <xf numFmtId="0" fontId="8" fillId="6" borderId="6" xfId="0" applyFont="1" applyFill="1" applyBorder="1" applyAlignment="1" applyProtection="1">
      <alignment horizontal="center"/>
      <protection hidden="1"/>
    </xf>
    <xf numFmtId="0" fontId="8" fillId="6" borderId="8" xfId="0" applyFont="1" applyFill="1" applyBorder="1" applyAlignment="1" applyProtection="1">
      <alignment horizontal="center"/>
      <protection hidden="1"/>
    </xf>
    <xf numFmtId="0" fontId="8" fillId="6" borderId="9" xfId="0" applyFont="1" applyFill="1" applyBorder="1" applyAlignment="1" applyProtection="1">
      <alignment horizontal="center"/>
      <protection hidden="1"/>
    </xf>
    <xf numFmtId="0" fontId="7" fillId="2" borderId="36" xfId="0" applyFont="1" applyFill="1" applyBorder="1" applyAlignment="1" applyProtection="1">
      <alignment horizontal="left"/>
      <protection hidden="1"/>
    </xf>
    <xf numFmtId="0" fontId="7" fillId="2" borderId="37" xfId="0" applyFont="1" applyFill="1" applyBorder="1" applyAlignment="1" applyProtection="1">
      <alignment horizontal="left"/>
      <protection hidden="1"/>
    </xf>
    <xf numFmtId="2" fontId="7" fillId="4" borderId="12" xfId="0" applyNumberFormat="1" applyFont="1" applyFill="1" applyBorder="1" applyAlignment="1" applyProtection="1">
      <alignment horizontal="center"/>
      <protection hidden="1"/>
    </xf>
    <xf numFmtId="164" fontId="7" fillId="4" borderId="13" xfId="0" applyNumberFormat="1" applyFont="1" applyFill="1" applyBorder="1" applyAlignment="1" applyProtection="1">
      <alignment horizontal="center"/>
      <protection hidden="1"/>
    </xf>
    <xf numFmtId="165" fontId="7" fillId="4" borderId="13" xfId="0" applyNumberFormat="1" applyFont="1" applyFill="1" applyBorder="1" applyAlignment="1" applyProtection="1">
      <alignment horizontal="center"/>
      <protection hidden="1"/>
    </xf>
    <xf numFmtId="0" fontId="7" fillId="0" borderId="10" xfId="0" applyFont="1" applyBorder="1" applyAlignment="1" applyProtection="1">
      <alignment horizontal="center"/>
      <protection locked="0" hidden="1"/>
    </xf>
    <xf numFmtId="0" fontId="7" fillId="0" borderId="12" xfId="0" applyFont="1" applyBorder="1" applyAlignment="1" applyProtection="1">
      <alignment horizontal="center"/>
      <protection locked="0" hidden="1"/>
    </xf>
    <xf numFmtId="9" fontId="7" fillId="0" borderId="12" xfId="1" applyFont="1" applyFill="1" applyBorder="1" applyAlignment="1" applyProtection="1">
      <alignment horizontal="center"/>
      <protection locked="0" hidden="1"/>
    </xf>
    <xf numFmtId="0" fontId="4" fillId="2" borderId="41" xfId="0" applyFont="1" applyFill="1" applyBorder="1" applyAlignment="1" applyProtection="1">
      <alignment horizontal="center" vertical="center"/>
      <protection hidden="1"/>
    </xf>
    <xf numFmtId="0" fontId="4" fillId="2" borderId="42" xfId="0" applyFont="1" applyFill="1" applyBorder="1" applyAlignment="1" applyProtection="1">
      <alignment horizontal="center" vertical="center"/>
      <protection hidden="1"/>
    </xf>
    <xf numFmtId="0" fontId="4" fillId="2" borderId="42" xfId="0" applyFont="1" applyFill="1" applyBorder="1" applyAlignment="1" applyProtection="1">
      <alignment horizontal="center" vertical="center" wrapText="1"/>
      <protection hidden="1"/>
    </xf>
    <xf numFmtId="0" fontId="4" fillId="2" borderId="43" xfId="0" applyFont="1" applyFill="1" applyBorder="1" applyAlignment="1" applyProtection="1">
      <alignment horizontal="center" vertical="center" wrapText="1"/>
      <protection hidden="1"/>
    </xf>
    <xf numFmtId="0" fontId="0" fillId="0" borderId="38" xfId="0" applyBorder="1" applyProtection="1">
      <protection locked="0" hidden="1"/>
    </xf>
    <xf numFmtId="0" fontId="0" fillId="0" borderId="39" xfId="0" applyBorder="1" applyAlignment="1" applyProtection="1">
      <alignment horizontal="center"/>
      <protection locked="0" hidden="1"/>
    </xf>
    <xf numFmtId="0" fontId="0" fillId="0" borderId="39" xfId="0" applyBorder="1" applyProtection="1">
      <protection locked="0" hidden="1"/>
    </xf>
    <xf numFmtId="0" fontId="3" fillId="0" borderId="39" xfId="0" applyFont="1" applyBorder="1" applyProtection="1">
      <protection locked="0" hidden="1"/>
    </xf>
    <xf numFmtId="0" fontId="5" fillId="5" borderId="39" xfId="0" applyFont="1" applyFill="1" applyBorder="1" applyProtection="1">
      <protection locked="0" hidden="1"/>
    </xf>
    <xf numFmtId="0" fontId="0" fillId="0" borderId="40" xfId="0" applyBorder="1" applyProtection="1">
      <protection locked="0" hidden="1"/>
    </xf>
    <xf numFmtId="0" fontId="0" fillId="0" borderId="18" xfId="0" applyBorder="1" applyProtection="1">
      <protection locked="0" hidden="1"/>
    </xf>
    <xf numFmtId="0" fontId="0" fillId="0" borderId="1" xfId="0" applyBorder="1" applyAlignment="1" applyProtection="1">
      <alignment horizontal="center"/>
      <protection locked="0" hidden="1"/>
    </xf>
    <xf numFmtId="0" fontId="0" fillId="0" borderId="1" xfId="0" applyBorder="1" applyProtection="1">
      <protection locked="0" hidden="1"/>
    </xf>
    <xf numFmtId="0" fontId="3" fillId="0" borderId="1" xfId="0" applyFont="1" applyBorder="1" applyProtection="1">
      <protection locked="0" hidden="1"/>
    </xf>
    <xf numFmtId="0" fontId="5" fillId="5" borderId="1" xfId="0" applyFont="1" applyFill="1" applyBorder="1" applyProtection="1">
      <protection locked="0" hidden="1"/>
    </xf>
    <xf numFmtId="0" fontId="0" fillId="0" borderId="19" xfId="0" applyBorder="1" applyProtection="1">
      <protection locked="0" hidden="1"/>
    </xf>
    <xf numFmtId="166" fontId="0" fillId="0" borderId="19" xfId="0" applyNumberFormat="1" applyBorder="1" applyProtection="1">
      <protection locked="0" hidden="1"/>
    </xf>
    <xf numFmtId="0" fontId="0" fillId="0" borderId="20" xfId="0" applyBorder="1" applyProtection="1">
      <protection locked="0" hidden="1"/>
    </xf>
    <xf numFmtId="0" fontId="0" fillId="0" borderId="21" xfId="0" applyBorder="1" applyAlignment="1" applyProtection="1">
      <alignment horizontal="center"/>
      <protection locked="0" hidden="1"/>
    </xf>
    <xf numFmtId="0" fontId="0" fillId="0" borderId="21" xfId="0" applyBorder="1" applyProtection="1">
      <protection locked="0" hidden="1"/>
    </xf>
    <xf numFmtId="0" fontId="5" fillId="5" borderId="21" xfId="0" applyFont="1" applyFill="1" applyBorder="1" applyProtection="1">
      <protection locked="0" hidden="1"/>
    </xf>
    <xf numFmtId="0" fontId="0" fillId="0" borderId="22" xfId="0" applyBorder="1" applyProtection="1">
      <protection locked="0" hidden="1"/>
    </xf>
    <xf numFmtId="0" fontId="5" fillId="3" borderId="19" xfId="0" applyFont="1" applyFill="1" applyBorder="1" applyAlignment="1" applyProtection="1">
      <alignment horizontal="center"/>
      <protection locked="0"/>
    </xf>
    <xf numFmtId="0" fontId="5" fillId="3" borderId="14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Protection="1"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3" borderId="19" xfId="0" applyFont="1" applyFill="1" applyBorder="1" applyProtection="1">
      <protection locked="0"/>
    </xf>
    <xf numFmtId="0" fontId="5" fillId="3" borderId="22" xfId="0" applyFont="1" applyFill="1" applyBorder="1" applyAlignment="1" applyProtection="1">
      <alignment horizontal="center"/>
      <protection locked="0"/>
    </xf>
    <xf numFmtId="0" fontId="5" fillId="3" borderId="28" xfId="0" applyFont="1" applyFill="1" applyBorder="1" applyAlignment="1" applyProtection="1">
      <alignment horizontal="center"/>
      <protection locked="0"/>
    </xf>
    <xf numFmtId="0" fontId="5" fillId="3" borderId="21" xfId="0" applyFont="1" applyFill="1" applyBorder="1" applyProtection="1">
      <protection locked="0"/>
    </xf>
    <xf numFmtId="0" fontId="5" fillId="3" borderId="29" xfId="0" applyFont="1" applyFill="1" applyBorder="1" applyAlignment="1" applyProtection="1">
      <alignment horizontal="center"/>
      <protection locked="0"/>
    </xf>
    <xf numFmtId="0" fontId="5" fillId="3" borderId="20" xfId="0" applyFont="1" applyFill="1" applyBorder="1" applyAlignment="1" applyProtection="1">
      <alignment horizontal="center"/>
      <protection locked="0"/>
    </xf>
    <xf numFmtId="0" fontId="5" fillId="3" borderId="21" xfId="0" applyFont="1" applyFill="1" applyBorder="1" applyAlignment="1" applyProtection="1">
      <alignment horizontal="center"/>
      <protection locked="0"/>
    </xf>
    <xf numFmtId="0" fontId="5" fillId="3" borderId="22" xfId="0" applyFon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9" xfId="0" applyFill="1" applyBorder="1" applyAlignment="1" applyProtection="1">
      <alignment vertical="top"/>
      <protection locked="0"/>
    </xf>
    <xf numFmtId="166" fontId="5" fillId="3" borderId="14" xfId="0" applyNumberFormat="1" applyFont="1" applyFill="1" applyBorder="1" applyProtection="1">
      <protection locked="0"/>
    </xf>
    <xf numFmtId="0" fontId="0" fillId="3" borderId="19" xfId="0" applyFill="1" applyBorder="1" applyProtection="1">
      <protection locked="0"/>
    </xf>
    <xf numFmtId="166" fontId="5" fillId="3" borderId="28" xfId="0" applyNumberFormat="1" applyFont="1" applyFill="1" applyBorder="1" applyProtection="1">
      <protection locked="0"/>
    </xf>
    <xf numFmtId="0" fontId="0" fillId="3" borderId="22" xfId="0" applyFill="1" applyBorder="1" applyAlignment="1" applyProtection="1">
      <alignment vertical="top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hidden="1"/>
    </xf>
    <xf numFmtId="0" fontId="1" fillId="2" borderId="16" xfId="0" applyFont="1" applyFill="1" applyBorder="1" applyAlignment="1" applyProtection="1">
      <alignment horizontal="center" vertical="center" wrapText="1"/>
      <protection hidden="1"/>
    </xf>
    <xf numFmtId="0" fontId="1" fillId="2" borderId="27" xfId="0" applyFont="1" applyFill="1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hidden="1"/>
    </xf>
    <xf numFmtId="0" fontId="4" fillId="2" borderId="14" xfId="0" applyFont="1" applyFill="1" applyBorder="1" applyAlignment="1" applyProtection="1">
      <alignment horizontal="center" vertical="center" wrapText="1"/>
      <protection hidden="1"/>
    </xf>
    <xf numFmtId="0" fontId="4" fillId="2" borderId="17" xfId="0" applyFont="1" applyFill="1" applyBorder="1" applyAlignment="1" applyProtection="1">
      <alignment horizontal="center" vertical="center" wrapText="1"/>
      <protection hidden="1"/>
    </xf>
    <xf numFmtId="0" fontId="4" fillId="2" borderId="19" xfId="0" applyFont="1" applyFill="1" applyBorder="1" applyAlignment="1" applyProtection="1">
      <alignment horizontal="center" vertical="center" wrapText="1"/>
      <protection hidden="1"/>
    </xf>
    <xf numFmtId="0" fontId="1" fillId="2" borderId="23" xfId="0" applyFont="1" applyFill="1" applyBorder="1" applyAlignment="1" applyProtection="1">
      <alignment horizontal="center" vertical="center" wrapText="1"/>
      <protection hidden="1"/>
    </xf>
    <xf numFmtId="0" fontId="1" fillId="2" borderId="24" xfId="0" applyFont="1" applyFill="1" applyBorder="1" applyAlignment="1" applyProtection="1">
      <alignment horizontal="center" vertical="center" wrapText="1"/>
      <protection hidden="1"/>
    </xf>
    <xf numFmtId="0" fontId="1" fillId="2" borderId="25" xfId="0" applyFont="1" applyFill="1" applyBorder="1" applyAlignment="1" applyProtection="1">
      <alignment horizontal="center" vertical="center" wrapText="1"/>
      <protection hidden="1"/>
    </xf>
    <xf numFmtId="0" fontId="1" fillId="2" borderId="15" xfId="0" applyFont="1" applyFill="1" applyBorder="1" applyAlignment="1" applyProtection="1">
      <alignment horizontal="center" vertical="center" wrapText="1"/>
      <protection hidden="1"/>
    </xf>
    <xf numFmtId="0" fontId="1" fillId="2" borderId="17" xfId="0" applyFont="1" applyFill="1" applyBorder="1" applyAlignment="1" applyProtection="1">
      <alignment horizontal="center" vertical="center" wrapText="1"/>
      <protection hidden="1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1" fillId="2" borderId="2" xfId="0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/>
      <protection hidden="1"/>
    </xf>
    <xf numFmtId="0" fontId="1" fillId="2" borderId="4" xfId="0" applyFont="1" applyFill="1" applyBorder="1" applyAlignment="1" applyProtection="1">
      <alignment horizontal="center"/>
      <protection hidden="1"/>
    </xf>
    <xf numFmtId="0" fontId="9" fillId="2" borderId="2" xfId="0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center" vertical="center" wrapText="1"/>
      <protection hidden="1"/>
    </xf>
    <xf numFmtId="0" fontId="9" fillId="2" borderId="4" xfId="0" applyFont="1" applyFill="1" applyBorder="1" applyAlignment="1" applyProtection="1">
      <alignment horizontal="center" vertical="center" wrapText="1"/>
      <protection hidden="1"/>
    </xf>
    <xf numFmtId="0" fontId="8" fillId="6" borderId="5" xfId="0" applyFont="1" applyFill="1" applyBorder="1" applyAlignment="1" applyProtection="1">
      <alignment horizontal="center" vertical="center"/>
      <protection hidden="1"/>
    </xf>
    <xf numFmtId="0" fontId="8" fillId="6" borderId="7" xfId="0" applyFont="1" applyFill="1" applyBorder="1" applyAlignment="1" applyProtection="1">
      <alignment horizontal="center" vertical="center"/>
      <protection hidden="1"/>
    </xf>
    <xf numFmtId="0" fontId="0" fillId="0" borderId="31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2" xfId="0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9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95248</xdr:colOff>
      <xdr:row>50</xdr:row>
      <xdr:rowOff>60780</xdr:rowOff>
    </xdr:from>
    <xdr:to>
      <xdr:col>18</xdr:col>
      <xdr:colOff>809625</xdr:colOff>
      <xdr:row>64</xdr:row>
      <xdr:rowOff>95249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3449F3B-61B1-BFA8-6E35-C54262CCB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467" y="9931061"/>
          <a:ext cx="14787564" cy="2701469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1</xdr:row>
      <xdr:rowOff>35719</xdr:rowOff>
    </xdr:from>
    <xdr:to>
      <xdr:col>18</xdr:col>
      <xdr:colOff>904836</xdr:colOff>
      <xdr:row>11</xdr:row>
      <xdr:rowOff>23298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C78325-2E8A-E57E-E8AE-D62CF0FDD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3844" y="238125"/>
          <a:ext cx="14930398" cy="17497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18188</xdr:rowOff>
    </xdr:from>
    <xdr:to>
      <xdr:col>3</xdr:col>
      <xdr:colOff>1758950</xdr:colOff>
      <xdr:row>2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22BACE5-53CB-660A-2175-018577838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221388"/>
          <a:ext cx="4654550" cy="680312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</xdr:colOff>
      <xdr:row>13</xdr:row>
      <xdr:rowOff>45454</xdr:rowOff>
    </xdr:from>
    <xdr:to>
      <xdr:col>3</xdr:col>
      <xdr:colOff>1739900</xdr:colOff>
      <xdr:row>13</xdr:row>
      <xdr:rowOff>901700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E9D0564-539F-5492-D67D-FDFF48C34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" y="3036304"/>
          <a:ext cx="4603750" cy="8562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5"/>
  <sheetViews>
    <sheetView showGridLines="0" showRowColHeaders="0" tabSelected="1" view="pageBreakPreview" zoomScale="80" zoomScaleNormal="80" zoomScaleSheetLayoutView="80" workbookViewId="0">
      <selection activeCell="H25" sqref="H25"/>
    </sheetView>
  </sheetViews>
  <sheetFormatPr baseColWidth="10" defaultColWidth="10.83203125" defaultRowHeight="15" x14ac:dyDescent="0.2"/>
  <cols>
    <col min="1" max="1" width="3.5" customWidth="1"/>
    <col min="2" max="2" width="19.83203125" customWidth="1"/>
    <col min="3" max="6" width="9.33203125" customWidth="1"/>
    <col min="7" max="7" width="10.83203125" customWidth="1"/>
    <col min="8" max="10" width="11.1640625" customWidth="1"/>
    <col min="12" max="12" width="19.33203125" customWidth="1"/>
    <col min="13" max="13" width="14.6640625" customWidth="1"/>
    <col min="14" max="14" width="13" customWidth="1"/>
    <col min="16" max="16" width="14.5" customWidth="1"/>
    <col min="17" max="17" width="9.1640625" customWidth="1"/>
    <col min="18" max="18" width="17.5" customWidth="1"/>
    <col min="19" max="19" width="14" customWidth="1"/>
    <col min="20" max="20" width="10.83203125" hidden="1" customWidth="1"/>
    <col min="21" max="21" width="18.83203125" customWidth="1"/>
  </cols>
  <sheetData>
    <row r="1" spans="1:19" ht="16" thickBot="1" x14ac:dyDescent="0.25">
      <c r="A1" t="s">
        <v>96</v>
      </c>
    </row>
    <row r="2" spans="1:19" x14ac:dyDescent="0.2">
      <c r="B2" s="98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100"/>
    </row>
    <row r="3" spans="1:19" x14ac:dyDescent="0.2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3"/>
    </row>
    <row r="4" spans="1:19" x14ac:dyDescent="0.2">
      <c r="B4" s="101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3"/>
    </row>
    <row r="5" spans="1:19" x14ac:dyDescent="0.2">
      <c r="B5" s="101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3"/>
    </row>
    <row r="6" spans="1:19" x14ac:dyDescent="0.2">
      <c r="B6" s="101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3"/>
    </row>
    <row r="7" spans="1:19" x14ac:dyDescent="0.2">
      <c r="B7" s="101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3"/>
    </row>
    <row r="8" spans="1:19" ht="12" customHeight="1" x14ac:dyDescent="0.2">
      <c r="B8" s="101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3"/>
    </row>
    <row r="9" spans="1:19" ht="12" customHeight="1" x14ac:dyDescent="0.2">
      <c r="B9" s="101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3"/>
    </row>
    <row r="10" spans="1:19" ht="12" customHeight="1" x14ac:dyDescent="0.2">
      <c r="B10" s="101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3"/>
    </row>
    <row r="11" spans="1:19" ht="12" customHeight="1" x14ac:dyDescent="0.2">
      <c r="B11" s="101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3"/>
    </row>
    <row r="12" spans="1:19" ht="12" customHeight="1" x14ac:dyDescent="0.2">
      <c r="B12" s="12"/>
      <c r="S12" s="13"/>
    </row>
    <row r="13" spans="1:19" ht="6.5" customHeight="1" thickBot="1" x14ac:dyDescent="0.25">
      <c r="B13" s="12"/>
      <c r="S13" s="13"/>
    </row>
    <row r="14" spans="1:19" ht="16" thickBot="1" x14ac:dyDescent="0.25">
      <c r="B14" s="104" t="s">
        <v>103</v>
      </c>
      <c r="C14" s="105"/>
      <c r="D14" s="105"/>
      <c r="E14" s="105"/>
      <c r="F14" s="105"/>
      <c r="G14" s="105"/>
      <c r="H14" s="106"/>
      <c r="I14" s="101"/>
      <c r="J14" s="102"/>
      <c r="K14" s="102"/>
      <c r="L14" s="102"/>
      <c r="M14" s="102"/>
      <c r="N14" s="102"/>
      <c r="O14" s="102"/>
      <c r="P14" s="102"/>
      <c r="Q14" s="102"/>
      <c r="R14" s="102"/>
      <c r="S14" s="103"/>
    </row>
    <row r="15" spans="1:19" ht="16" thickBot="1" x14ac:dyDescent="0.25">
      <c r="B15" s="24" t="s">
        <v>30</v>
      </c>
      <c r="C15" s="86"/>
      <c r="D15" s="87"/>
      <c r="E15" s="87"/>
      <c r="F15" s="87"/>
      <c r="G15" s="87"/>
      <c r="H15" s="88"/>
      <c r="I15" s="101"/>
      <c r="J15" s="102"/>
      <c r="K15" s="102"/>
      <c r="L15" s="102"/>
      <c r="M15" s="102"/>
      <c r="N15" s="102"/>
      <c r="O15" s="102"/>
      <c r="P15" s="102"/>
      <c r="Q15" s="102"/>
      <c r="R15" s="102"/>
      <c r="S15" s="103"/>
    </row>
    <row r="16" spans="1:19" ht="16" thickBot="1" x14ac:dyDescent="0.25">
      <c r="B16" s="24" t="s">
        <v>31</v>
      </c>
      <c r="C16" s="86"/>
      <c r="D16" s="87"/>
      <c r="E16" s="87"/>
      <c r="F16" s="87"/>
      <c r="G16" s="87"/>
      <c r="H16" s="88"/>
      <c r="I16" s="101"/>
      <c r="J16" s="102"/>
      <c r="K16" s="102"/>
      <c r="L16" s="102"/>
      <c r="M16" s="102"/>
      <c r="N16" s="102"/>
      <c r="O16" s="102"/>
      <c r="P16" s="102"/>
      <c r="Q16" s="102"/>
      <c r="R16" s="102"/>
      <c r="S16" s="103"/>
    </row>
    <row r="17" spans="2:20" ht="16" thickBot="1" x14ac:dyDescent="0.25">
      <c r="B17" s="24" t="s">
        <v>32</v>
      </c>
      <c r="C17" s="86"/>
      <c r="D17" s="87"/>
      <c r="E17" s="87"/>
      <c r="F17" s="87"/>
      <c r="G17" s="87"/>
      <c r="H17" s="88"/>
      <c r="I17" s="101"/>
      <c r="J17" s="102"/>
      <c r="K17" s="102"/>
      <c r="L17" s="102"/>
      <c r="M17" s="102"/>
      <c r="N17" s="102"/>
      <c r="O17" s="102"/>
      <c r="P17" s="102"/>
      <c r="Q17" s="102"/>
      <c r="R17" s="102"/>
      <c r="S17" s="103"/>
    </row>
    <row r="18" spans="2:20" ht="16" thickBot="1" x14ac:dyDescent="0.25">
      <c r="B18" s="24" t="s">
        <v>58</v>
      </c>
      <c r="C18" s="86"/>
      <c r="D18" s="87"/>
      <c r="E18" s="87"/>
      <c r="F18" s="87"/>
      <c r="G18" s="87"/>
      <c r="H18" s="88"/>
      <c r="I18" s="101"/>
      <c r="J18" s="102"/>
      <c r="K18" s="102"/>
      <c r="L18" s="102"/>
      <c r="M18" s="102"/>
      <c r="N18" s="102"/>
      <c r="O18" s="102"/>
      <c r="P18" s="102"/>
      <c r="Q18" s="102"/>
      <c r="R18" s="102"/>
      <c r="S18" s="103"/>
    </row>
    <row r="19" spans="2:20" ht="16" thickBot="1" x14ac:dyDescent="0.25">
      <c r="B19" s="12"/>
      <c r="S19" s="13"/>
    </row>
    <row r="20" spans="2:20" ht="25.5" customHeight="1" x14ac:dyDescent="0.2">
      <c r="B20" s="96" t="s">
        <v>57</v>
      </c>
      <c r="C20" s="84"/>
      <c r="D20" s="84"/>
      <c r="E20" s="84"/>
      <c r="F20" s="97"/>
      <c r="G20" s="83" t="s">
        <v>53</v>
      </c>
      <c r="H20" s="84"/>
      <c r="I20" s="85"/>
      <c r="J20" s="93" t="s">
        <v>104</v>
      </c>
      <c r="K20" s="94"/>
      <c r="L20" s="94"/>
      <c r="M20" s="95"/>
      <c r="N20" s="96" t="s">
        <v>105</v>
      </c>
      <c r="O20" s="84"/>
      <c r="P20" s="84"/>
      <c r="Q20" s="97"/>
      <c r="R20" s="89" t="s">
        <v>49</v>
      </c>
      <c r="S20" s="91" t="s">
        <v>73</v>
      </c>
    </row>
    <row r="21" spans="2:20" ht="48" customHeight="1" x14ac:dyDescent="0.2">
      <c r="B21" s="17" t="s">
        <v>28</v>
      </c>
      <c r="C21" s="18" t="s">
        <v>51</v>
      </c>
      <c r="D21" s="18" t="s">
        <v>29</v>
      </c>
      <c r="E21" s="18" t="s">
        <v>92</v>
      </c>
      <c r="F21" s="19" t="s">
        <v>55</v>
      </c>
      <c r="G21" s="20" t="s">
        <v>54</v>
      </c>
      <c r="H21" s="18" t="s">
        <v>59</v>
      </c>
      <c r="I21" s="21" t="s">
        <v>94</v>
      </c>
      <c r="J21" s="22" t="s">
        <v>60</v>
      </c>
      <c r="K21" s="18" t="s">
        <v>52</v>
      </c>
      <c r="L21" s="18" t="s">
        <v>56</v>
      </c>
      <c r="M21" s="23" t="s">
        <v>70</v>
      </c>
      <c r="N21" s="22" t="s">
        <v>23</v>
      </c>
      <c r="O21" s="18" t="s">
        <v>72</v>
      </c>
      <c r="P21" s="18" t="s">
        <v>24</v>
      </c>
      <c r="Q21" s="19" t="s">
        <v>93</v>
      </c>
      <c r="R21" s="90"/>
      <c r="S21" s="92"/>
      <c r="T21" s="2" t="s">
        <v>27</v>
      </c>
    </row>
    <row r="22" spans="2:20" x14ac:dyDescent="0.2">
      <c r="B22" s="25" t="s">
        <v>9</v>
      </c>
      <c r="C22" s="26" t="s">
        <v>46</v>
      </c>
      <c r="D22" s="3">
        <f>VLOOKUP(TUBERIAS!C22,LISTAS!$C$3:$D$16,2,FALSE)</f>
        <v>152.39999999999998</v>
      </c>
      <c r="E22" s="4">
        <f>+((D22*3.1416)/10)*F22</f>
        <v>95.755967999999982</v>
      </c>
      <c r="F22" s="63">
        <v>2</v>
      </c>
      <c r="G22" s="64" t="s">
        <v>47</v>
      </c>
      <c r="H22" s="65" t="s">
        <v>0</v>
      </c>
      <c r="I22" s="66">
        <v>13</v>
      </c>
      <c r="J22" s="67">
        <v>10</v>
      </c>
      <c r="K22" s="68">
        <v>6</v>
      </c>
      <c r="L22" s="68"/>
      <c r="M22" s="69" t="s">
        <v>61</v>
      </c>
      <c r="N22" s="67">
        <v>25</v>
      </c>
      <c r="O22" s="8">
        <f>+((E22*(J22/10)*(K22/10))*N22)</f>
        <v>1436.3395199999998</v>
      </c>
      <c r="P22" s="65" t="s">
        <v>25</v>
      </c>
      <c r="Q22" s="9">
        <f>O22/T22</f>
        <v>2.3938991999999994</v>
      </c>
      <c r="R22" s="77"/>
      <c r="S22" s="78" t="s">
        <v>95</v>
      </c>
      <c r="T22" s="7">
        <f>VLOOKUP(P22,LISTAS!$L$2:$M$5,2,FALSE)</f>
        <v>600</v>
      </c>
    </row>
    <row r="23" spans="2:20" x14ac:dyDescent="0.2">
      <c r="B23" s="25" t="s">
        <v>11</v>
      </c>
      <c r="C23" s="26" t="s">
        <v>36</v>
      </c>
      <c r="D23" s="3">
        <f>VLOOKUP(TUBERIAS!C23,LISTAS!$C$3:$D$16,2,FALSE)</f>
        <v>76.199999999999989</v>
      </c>
      <c r="E23" s="4">
        <f>+((D23*3.1416)/10)*F23</f>
        <v>47.877983999999991</v>
      </c>
      <c r="F23" s="63">
        <v>2</v>
      </c>
      <c r="G23" s="64" t="s">
        <v>48</v>
      </c>
      <c r="H23" s="65" t="s">
        <v>0</v>
      </c>
      <c r="I23" s="66">
        <v>15</v>
      </c>
      <c r="J23" s="67">
        <v>20</v>
      </c>
      <c r="K23" s="68">
        <v>25</v>
      </c>
      <c r="L23" s="68" t="s">
        <v>69</v>
      </c>
      <c r="M23" s="69" t="s">
        <v>64</v>
      </c>
      <c r="N23" s="67">
        <v>15</v>
      </c>
      <c r="O23" s="8">
        <f>+((E23*(J23/10)*(K23/10))*N23)</f>
        <v>3590.8487999999993</v>
      </c>
      <c r="P23" s="65" t="s">
        <v>50</v>
      </c>
      <c r="Q23" s="9">
        <f t="shared" ref="Q23:Q50" si="0">O23/T23</f>
        <v>11.583383225806449</v>
      </c>
      <c r="R23" s="79"/>
      <c r="S23" s="78"/>
      <c r="T23" s="7">
        <f>VLOOKUP(P23,LISTAS!$L$2:$M$5,2,FALSE)</f>
        <v>310</v>
      </c>
    </row>
    <row r="24" spans="2:20" x14ac:dyDescent="0.2">
      <c r="B24" s="25" t="s">
        <v>9</v>
      </c>
      <c r="C24" s="26" t="s">
        <v>39</v>
      </c>
      <c r="D24" s="3">
        <f>VLOOKUP(TUBERIAS!C24,LISTAS!$C$3:$D$16,2,FALSE)</f>
        <v>38.1</v>
      </c>
      <c r="E24" s="4">
        <f>+((D24*3.1416)/10)*F24</f>
        <v>23.938992000000002</v>
      </c>
      <c r="F24" s="63">
        <v>2</v>
      </c>
      <c r="G24" s="64" t="s">
        <v>48</v>
      </c>
      <c r="H24" s="65" t="s">
        <v>0</v>
      </c>
      <c r="I24" s="66">
        <v>10</v>
      </c>
      <c r="J24" s="67"/>
      <c r="K24" s="68">
        <v>25</v>
      </c>
      <c r="L24" s="68" t="s">
        <v>69</v>
      </c>
      <c r="M24" s="69" t="s">
        <v>64</v>
      </c>
      <c r="N24" s="67">
        <v>1</v>
      </c>
      <c r="O24" s="8">
        <f t="shared" ref="O24:O50" si="1">+((E24*(J24/10)*(K24/10))*N24)</f>
        <v>0</v>
      </c>
      <c r="P24" s="65" t="s">
        <v>50</v>
      </c>
      <c r="Q24" s="9">
        <f t="shared" si="0"/>
        <v>0</v>
      </c>
      <c r="R24" s="79"/>
      <c r="S24" s="78"/>
      <c r="T24" s="7">
        <f>VLOOKUP(P24,LISTAS!$L$2:$M$5,2,FALSE)</f>
        <v>310</v>
      </c>
    </row>
    <row r="25" spans="2:20" x14ac:dyDescent="0.2">
      <c r="B25" s="25"/>
      <c r="C25" s="26"/>
      <c r="D25" s="3" t="e">
        <f>VLOOKUP(TUBERIAS!C25,LISTAS!$C$3:$D$16,2,FALSE)</f>
        <v>#N/A</v>
      </c>
      <c r="E25" s="4" t="e">
        <f t="shared" ref="E25:E50" si="2">+((D25*3.1416)/10)*F25</f>
        <v>#N/A</v>
      </c>
      <c r="F25" s="63"/>
      <c r="G25" s="64"/>
      <c r="H25" s="65"/>
      <c r="I25" s="66"/>
      <c r="J25" s="67"/>
      <c r="K25" s="68"/>
      <c r="L25" s="68"/>
      <c r="M25" s="69"/>
      <c r="N25" s="67"/>
      <c r="O25" s="8" t="e">
        <f t="shared" si="1"/>
        <v>#N/A</v>
      </c>
      <c r="P25" s="65"/>
      <c r="Q25" s="9" t="e">
        <f t="shared" si="0"/>
        <v>#N/A</v>
      </c>
      <c r="R25" s="79"/>
      <c r="S25" s="78"/>
      <c r="T25" s="7" t="e">
        <f>VLOOKUP(P25,LISTAS!$L$2:$M$5,2,FALSE)</f>
        <v>#N/A</v>
      </c>
    </row>
    <row r="26" spans="2:20" x14ac:dyDescent="0.2">
      <c r="B26" s="25"/>
      <c r="C26" s="26"/>
      <c r="D26" s="3" t="e">
        <f>VLOOKUP(TUBERIAS!C26,LISTAS!$C$3:$D$16,2,FALSE)</f>
        <v>#N/A</v>
      </c>
      <c r="E26" s="4" t="e">
        <f t="shared" si="2"/>
        <v>#N/A</v>
      </c>
      <c r="F26" s="63"/>
      <c r="G26" s="64"/>
      <c r="H26" s="65"/>
      <c r="I26" s="66"/>
      <c r="J26" s="67"/>
      <c r="K26" s="68"/>
      <c r="L26" s="68"/>
      <c r="M26" s="69"/>
      <c r="N26" s="67"/>
      <c r="O26" s="8" t="e">
        <f t="shared" si="1"/>
        <v>#N/A</v>
      </c>
      <c r="P26" s="65"/>
      <c r="Q26" s="9" t="e">
        <f t="shared" si="0"/>
        <v>#N/A</v>
      </c>
      <c r="R26" s="79"/>
      <c r="S26" s="78"/>
      <c r="T26" s="7" t="e">
        <f>VLOOKUP(P26,LISTAS!$L$2:$M$5,2,FALSE)</f>
        <v>#N/A</v>
      </c>
    </row>
    <row r="27" spans="2:20" x14ac:dyDescent="0.2">
      <c r="B27" s="25"/>
      <c r="C27" s="26"/>
      <c r="D27" s="3" t="e">
        <f>VLOOKUP(TUBERIAS!C27,LISTAS!$C$3:$D$16,2,FALSE)</f>
        <v>#N/A</v>
      </c>
      <c r="E27" s="4" t="e">
        <f t="shared" si="2"/>
        <v>#N/A</v>
      </c>
      <c r="F27" s="63"/>
      <c r="G27" s="64"/>
      <c r="H27" s="65"/>
      <c r="I27" s="66"/>
      <c r="J27" s="67"/>
      <c r="K27" s="68"/>
      <c r="L27" s="68"/>
      <c r="M27" s="69"/>
      <c r="N27" s="67"/>
      <c r="O27" s="8" t="e">
        <f t="shared" si="1"/>
        <v>#N/A</v>
      </c>
      <c r="P27" s="65"/>
      <c r="Q27" s="9" t="e">
        <f t="shared" si="0"/>
        <v>#N/A</v>
      </c>
      <c r="R27" s="79"/>
      <c r="S27" s="78"/>
      <c r="T27" s="7" t="e">
        <f>VLOOKUP(P27,LISTAS!$L$2:$M$5,2,FALSE)</f>
        <v>#N/A</v>
      </c>
    </row>
    <row r="28" spans="2:20" x14ac:dyDescent="0.2">
      <c r="B28" s="25"/>
      <c r="C28" s="26"/>
      <c r="D28" s="3" t="e">
        <f>VLOOKUP(TUBERIAS!C28,LISTAS!$C$3:$D$16,2,FALSE)</f>
        <v>#N/A</v>
      </c>
      <c r="E28" s="4" t="e">
        <f t="shared" si="2"/>
        <v>#N/A</v>
      </c>
      <c r="F28" s="63"/>
      <c r="G28" s="64"/>
      <c r="H28" s="65"/>
      <c r="I28" s="66"/>
      <c r="J28" s="67"/>
      <c r="K28" s="68"/>
      <c r="L28" s="68"/>
      <c r="M28" s="69"/>
      <c r="N28" s="67"/>
      <c r="O28" s="8" t="e">
        <f t="shared" si="1"/>
        <v>#N/A</v>
      </c>
      <c r="P28" s="65"/>
      <c r="Q28" s="9" t="e">
        <f t="shared" si="0"/>
        <v>#N/A</v>
      </c>
      <c r="R28" s="79"/>
      <c r="S28" s="78"/>
      <c r="T28" s="7" t="e">
        <f>VLOOKUP(P28,LISTAS!$L$2:$M$5,2,FALSE)</f>
        <v>#N/A</v>
      </c>
    </row>
    <row r="29" spans="2:20" x14ac:dyDescent="0.2">
      <c r="B29" s="25"/>
      <c r="C29" s="26"/>
      <c r="D29" s="3" t="e">
        <f>VLOOKUP(TUBERIAS!C29,LISTAS!$C$3:$D$16,2,FALSE)</f>
        <v>#N/A</v>
      </c>
      <c r="E29" s="4" t="e">
        <f t="shared" si="2"/>
        <v>#N/A</v>
      </c>
      <c r="F29" s="63"/>
      <c r="G29" s="64"/>
      <c r="H29" s="65"/>
      <c r="I29" s="66"/>
      <c r="J29" s="67"/>
      <c r="K29" s="68"/>
      <c r="L29" s="68"/>
      <c r="M29" s="69"/>
      <c r="N29" s="67"/>
      <c r="O29" s="8" t="e">
        <f t="shared" si="1"/>
        <v>#N/A</v>
      </c>
      <c r="P29" s="65"/>
      <c r="Q29" s="9" t="e">
        <f t="shared" si="0"/>
        <v>#N/A</v>
      </c>
      <c r="R29" s="79"/>
      <c r="S29" s="78"/>
      <c r="T29" s="7" t="e">
        <f>VLOOKUP(P29,LISTAS!$L$2:$M$5,2,FALSE)</f>
        <v>#N/A</v>
      </c>
    </row>
    <row r="30" spans="2:20" x14ac:dyDescent="0.2">
      <c r="B30" s="25"/>
      <c r="C30" s="26"/>
      <c r="D30" s="3" t="e">
        <f>VLOOKUP(TUBERIAS!C30,LISTAS!$C$3:$D$16,2,FALSE)</f>
        <v>#N/A</v>
      </c>
      <c r="E30" s="4" t="e">
        <f t="shared" si="2"/>
        <v>#N/A</v>
      </c>
      <c r="F30" s="63"/>
      <c r="G30" s="64"/>
      <c r="H30" s="65"/>
      <c r="I30" s="66"/>
      <c r="J30" s="67"/>
      <c r="K30" s="68"/>
      <c r="L30" s="68"/>
      <c r="M30" s="69"/>
      <c r="N30" s="67"/>
      <c r="O30" s="8" t="e">
        <f t="shared" si="1"/>
        <v>#N/A</v>
      </c>
      <c r="P30" s="65"/>
      <c r="Q30" s="9" t="e">
        <f t="shared" si="0"/>
        <v>#N/A</v>
      </c>
      <c r="R30" s="79"/>
      <c r="S30" s="78"/>
      <c r="T30" s="7" t="e">
        <f>VLOOKUP(P30,LISTAS!$L$2:$M$5,2,FALSE)</f>
        <v>#N/A</v>
      </c>
    </row>
    <row r="31" spans="2:20" x14ac:dyDescent="0.2">
      <c r="B31" s="25"/>
      <c r="C31" s="26"/>
      <c r="D31" s="3" t="e">
        <f>VLOOKUP(TUBERIAS!C31,LISTAS!$C$3:$D$16,2,FALSE)</f>
        <v>#N/A</v>
      </c>
      <c r="E31" s="4" t="e">
        <f t="shared" si="2"/>
        <v>#N/A</v>
      </c>
      <c r="F31" s="63"/>
      <c r="G31" s="64"/>
      <c r="H31" s="65"/>
      <c r="I31" s="66"/>
      <c r="J31" s="67"/>
      <c r="K31" s="68"/>
      <c r="L31" s="68"/>
      <c r="M31" s="69"/>
      <c r="N31" s="67"/>
      <c r="O31" s="8" t="e">
        <f t="shared" si="1"/>
        <v>#N/A</v>
      </c>
      <c r="P31" s="65"/>
      <c r="Q31" s="9" t="e">
        <f t="shared" si="0"/>
        <v>#N/A</v>
      </c>
      <c r="R31" s="79"/>
      <c r="S31" s="78"/>
      <c r="T31" s="7" t="e">
        <f>VLOOKUP(P31,LISTAS!$L$2:$M$5,2,FALSE)</f>
        <v>#N/A</v>
      </c>
    </row>
    <row r="32" spans="2:20" x14ac:dyDescent="0.2">
      <c r="B32" s="25"/>
      <c r="C32" s="26"/>
      <c r="D32" s="3" t="e">
        <f>VLOOKUP(TUBERIAS!C32,LISTAS!$C$3:$D$16,2,FALSE)</f>
        <v>#N/A</v>
      </c>
      <c r="E32" s="4" t="e">
        <f t="shared" si="2"/>
        <v>#N/A</v>
      </c>
      <c r="F32" s="63"/>
      <c r="G32" s="64"/>
      <c r="H32" s="65"/>
      <c r="I32" s="66"/>
      <c r="J32" s="67"/>
      <c r="K32" s="68"/>
      <c r="L32" s="68"/>
      <c r="M32" s="69"/>
      <c r="N32" s="67"/>
      <c r="O32" s="8" t="e">
        <f t="shared" si="1"/>
        <v>#N/A</v>
      </c>
      <c r="P32" s="65"/>
      <c r="Q32" s="9" t="e">
        <f t="shared" si="0"/>
        <v>#N/A</v>
      </c>
      <c r="R32" s="79"/>
      <c r="S32" s="78"/>
      <c r="T32" s="7" t="e">
        <f>VLOOKUP(P32,LISTAS!$L$2:$M$5,2,FALSE)</f>
        <v>#N/A</v>
      </c>
    </row>
    <row r="33" spans="2:20" x14ac:dyDescent="0.2">
      <c r="B33" s="25"/>
      <c r="C33" s="26"/>
      <c r="D33" s="3" t="e">
        <f>VLOOKUP(TUBERIAS!C33,LISTAS!$C$3:$D$16,2,FALSE)</f>
        <v>#N/A</v>
      </c>
      <c r="E33" s="4" t="e">
        <f t="shared" si="2"/>
        <v>#N/A</v>
      </c>
      <c r="F33" s="63"/>
      <c r="G33" s="64"/>
      <c r="H33" s="65"/>
      <c r="I33" s="66"/>
      <c r="J33" s="67"/>
      <c r="K33" s="68"/>
      <c r="L33" s="68"/>
      <c r="M33" s="69"/>
      <c r="N33" s="67"/>
      <c r="O33" s="8" t="e">
        <f t="shared" si="1"/>
        <v>#N/A</v>
      </c>
      <c r="P33" s="65"/>
      <c r="Q33" s="9" t="e">
        <f t="shared" si="0"/>
        <v>#N/A</v>
      </c>
      <c r="R33" s="79"/>
      <c r="S33" s="78"/>
      <c r="T33" s="7" t="e">
        <f>VLOOKUP(P33,LISTAS!$L$2:$M$5,2,FALSE)</f>
        <v>#N/A</v>
      </c>
    </row>
    <row r="34" spans="2:20" x14ac:dyDescent="0.2">
      <c r="B34" s="25"/>
      <c r="C34" s="26"/>
      <c r="D34" s="3" t="e">
        <f>VLOOKUP(TUBERIAS!C34,LISTAS!$C$3:$D$16,2,FALSE)</f>
        <v>#N/A</v>
      </c>
      <c r="E34" s="4" t="e">
        <f t="shared" si="2"/>
        <v>#N/A</v>
      </c>
      <c r="F34" s="63"/>
      <c r="G34" s="64"/>
      <c r="H34" s="65"/>
      <c r="I34" s="66"/>
      <c r="J34" s="67"/>
      <c r="K34" s="68"/>
      <c r="L34" s="68"/>
      <c r="M34" s="69"/>
      <c r="N34" s="67"/>
      <c r="O34" s="8" t="e">
        <f t="shared" si="1"/>
        <v>#N/A</v>
      </c>
      <c r="P34" s="65"/>
      <c r="Q34" s="9" t="e">
        <f t="shared" si="0"/>
        <v>#N/A</v>
      </c>
      <c r="R34" s="79"/>
      <c r="S34" s="78"/>
      <c r="T34" s="7" t="e">
        <f>VLOOKUP(P34,LISTAS!$L$2:$M$5,2,FALSE)</f>
        <v>#N/A</v>
      </c>
    </row>
    <row r="35" spans="2:20" x14ac:dyDescent="0.2">
      <c r="B35" s="25"/>
      <c r="C35" s="26"/>
      <c r="D35" s="3" t="e">
        <f>VLOOKUP(TUBERIAS!C35,LISTAS!$C$3:$D$16,2,FALSE)</f>
        <v>#N/A</v>
      </c>
      <c r="E35" s="4" t="e">
        <f t="shared" si="2"/>
        <v>#N/A</v>
      </c>
      <c r="F35" s="63"/>
      <c r="G35" s="64"/>
      <c r="H35" s="65"/>
      <c r="I35" s="66"/>
      <c r="J35" s="67"/>
      <c r="K35" s="68"/>
      <c r="L35" s="68"/>
      <c r="M35" s="69"/>
      <c r="N35" s="67"/>
      <c r="O35" s="8" t="e">
        <f t="shared" si="1"/>
        <v>#N/A</v>
      </c>
      <c r="P35" s="65"/>
      <c r="Q35" s="9" t="e">
        <f t="shared" si="0"/>
        <v>#N/A</v>
      </c>
      <c r="R35" s="79"/>
      <c r="S35" s="78"/>
      <c r="T35" s="7" t="e">
        <f>VLOOKUP(P35,LISTAS!$L$2:$M$5,2,FALSE)</f>
        <v>#N/A</v>
      </c>
    </row>
    <row r="36" spans="2:20" x14ac:dyDescent="0.2">
      <c r="B36" s="25"/>
      <c r="C36" s="26"/>
      <c r="D36" s="3" t="e">
        <f>VLOOKUP(TUBERIAS!C36,LISTAS!$C$3:$D$16,2,FALSE)</f>
        <v>#N/A</v>
      </c>
      <c r="E36" s="4" t="e">
        <f t="shared" si="2"/>
        <v>#N/A</v>
      </c>
      <c r="F36" s="63"/>
      <c r="G36" s="64"/>
      <c r="H36" s="65"/>
      <c r="I36" s="66"/>
      <c r="J36" s="67"/>
      <c r="K36" s="68"/>
      <c r="L36" s="68"/>
      <c r="M36" s="69"/>
      <c r="N36" s="67"/>
      <c r="O36" s="8" t="e">
        <f t="shared" si="1"/>
        <v>#N/A</v>
      </c>
      <c r="P36" s="65"/>
      <c r="Q36" s="9" t="e">
        <f t="shared" si="0"/>
        <v>#N/A</v>
      </c>
      <c r="R36" s="79"/>
      <c r="S36" s="78"/>
      <c r="T36" s="7" t="e">
        <f>VLOOKUP(P36,LISTAS!$L$2:$M$5,2,FALSE)</f>
        <v>#N/A</v>
      </c>
    </row>
    <row r="37" spans="2:20" x14ac:dyDescent="0.2">
      <c r="B37" s="25"/>
      <c r="C37" s="26"/>
      <c r="D37" s="3" t="e">
        <f>VLOOKUP(TUBERIAS!C37,LISTAS!$C$3:$D$16,2,FALSE)</f>
        <v>#N/A</v>
      </c>
      <c r="E37" s="4" t="e">
        <f t="shared" si="2"/>
        <v>#N/A</v>
      </c>
      <c r="F37" s="63"/>
      <c r="G37" s="64"/>
      <c r="H37" s="65"/>
      <c r="I37" s="66"/>
      <c r="J37" s="67"/>
      <c r="K37" s="68"/>
      <c r="L37" s="68"/>
      <c r="M37" s="69"/>
      <c r="N37" s="67"/>
      <c r="O37" s="8" t="e">
        <f t="shared" si="1"/>
        <v>#N/A</v>
      </c>
      <c r="P37" s="65"/>
      <c r="Q37" s="9" t="e">
        <f t="shared" si="0"/>
        <v>#N/A</v>
      </c>
      <c r="R37" s="79"/>
      <c r="S37" s="78"/>
      <c r="T37" s="7" t="e">
        <f>VLOOKUP(P37,LISTAS!$L$2:$M$5,2,FALSE)</f>
        <v>#N/A</v>
      </c>
    </row>
    <row r="38" spans="2:20" x14ac:dyDescent="0.2">
      <c r="B38" s="25"/>
      <c r="C38" s="26"/>
      <c r="D38" s="3" t="e">
        <f>VLOOKUP(TUBERIAS!C38,LISTAS!$C$3:$D$16,2,FALSE)</f>
        <v>#N/A</v>
      </c>
      <c r="E38" s="4" t="e">
        <f t="shared" si="2"/>
        <v>#N/A</v>
      </c>
      <c r="F38" s="63"/>
      <c r="G38" s="64"/>
      <c r="H38" s="65"/>
      <c r="I38" s="66"/>
      <c r="J38" s="67"/>
      <c r="K38" s="68"/>
      <c r="L38" s="68"/>
      <c r="M38" s="69"/>
      <c r="N38" s="67"/>
      <c r="O38" s="8" t="e">
        <f t="shared" si="1"/>
        <v>#N/A</v>
      </c>
      <c r="P38" s="65"/>
      <c r="Q38" s="9" t="e">
        <f t="shared" si="0"/>
        <v>#N/A</v>
      </c>
      <c r="R38" s="79"/>
      <c r="S38" s="80"/>
      <c r="T38" s="1"/>
    </row>
    <row r="39" spans="2:20" x14ac:dyDescent="0.2">
      <c r="B39" s="25"/>
      <c r="C39" s="26"/>
      <c r="D39" s="3" t="e">
        <f>VLOOKUP(TUBERIAS!C39,LISTAS!$C$3:$D$16,2,FALSE)</f>
        <v>#N/A</v>
      </c>
      <c r="E39" s="4" t="e">
        <f t="shared" si="2"/>
        <v>#N/A</v>
      </c>
      <c r="F39" s="63"/>
      <c r="G39" s="64"/>
      <c r="H39" s="65"/>
      <c r="I39" s="66"/>
      <c r="J39" s="67"/>
      <c r="K39" s="68"/>
      <c r="L39" s="68"/>
      <c r="M39" s="69"/>
      <c r="N39" s="67"/>
      <c r="O39" s="8" t="e">
        <f t="shared" si="1"/>
        <v>#N/A</v>
      </c>
      <c r="P39" s="65"/>
      <c r="Q39" s="9" t="e">
        <f t="shared" si="0"/>
        <v>#N/A</v>
      </c>
      <c r="R39" s="79"/>
      <c r="S39" s="78"/>
      <c r="T39" s="7" t="e">
        <f>VLOOKUP(P39,LISTAS!$L$2:$M$5,2,FALSE)</f>
        <v>#N/A</v>
      </c>
    </row>
    <row r="40" spans="2:20" x14ac:dyDescent="0.2">
      <c r="B40" s="25"/>
      <c r="C40" s="26"/>
      <c r="D40" s="3" t="e">
        <f>VLOOKUP(TUBERIAS!C40,LISTAS!$C$3:$D$16,2,FALSE)</f>
        <v>#N/A</v>
      </c>
      <c r="E40" s="4" t="e">
        <f t="shared" si="2"/>
        <v>#N/A</v>
      </c>
      <c r="F40" s="63"/>
      <c r="G40" s="64"/>
      <c r="H40" s="65"/>
      <c r="I40" s="66"/>
      <c r="J40" s="67"/>
      <c r="K40" s="68"/>
      <c r="L40" s="68"/>
      <c r="M40" s="69"/>
      <c r="N40" s="67"/>
      <c r="O40" s="8" t="e">
        <f t="shared" si="1"/>
        <v>#N/A</v>
      </c>
      <c r="P40" s="65"/>
      <c r="Q40" s="9" t="e">
        <f t="shared" si="0"/>
        <v>#N/A</v>
      </c>
      <c r="R40" s="79"/>
      <c r="S40" s="78"/>
      <c r="T40" s="7" t="e">
        <f>VLOOKUP(P40,LISTAS!$L$2:$M$5,2,FALSE)</f>
        <v>#N/A</v>
      </c>
    </row>
    <row r="41" spans="2:20" x14ac:dyDescent="0.2">
      <c r="B41" s="25"/>
      <c r="C41" s="26"/>
      <c r="D41" s="3" t="e">
        <f>VLOOKUP(TUBERIAS!C41,LISTAS!$C$3:$D$16,2,FALSE)</f>
        <v>#N/A</v>
      </c>
      <c r="E41" s="4" t="e">
        <f t="shared" si="2"/>
        <v>#N/A</v>
      </c>
      <c r="F41" s="63"/>
      <c r="G41" s="64"/>
      <c r="H41" s="65"/>
      <c r="I41" s="66"/>
      <c r="J41" s="67"/>
      <c r="K41" s="68"/>
      <c r="L41" s="68"/>
      <c r="M41" s="69"/>
      <c r="N41" s="67"/>
      <c r="O41" s="8" t="e">
        <f t="shared" si="1"/>
        <v>#N/A</v>
      </c>
      <c r="P41" s="65"/>
      <c r="Q41" s="9" t="e">
        <f t="shared" si="0"/>
        <v>#N/A</v>
      </c>
      <c r="R41" s="79"/>
      <c r="S41" s="78"/>
      <c r="T41" s="7" t="e">
        <f>VLOOKUP(P41,LISTAS!$L$2:$M$5,2,FALSE)</f>
        <v>#N/A</v>
      </c>
    </row>
    <row r="42" spans="2:20" x14ac:dyDescent="0.2">
      <c r="B42" s="25"/>
      <c r="C42" s="26"/>
      <c r="D42" s="3" t="e">
        <f>VLOOKUP(TUBERIAS!C42,LISTAS!$C$3:$D$16,2,FALSE)</f>
        <v>#N/A</v>
      </c>
      <c r="E42" s="4" t="e">
        <f t="shared" si="2"/>
        <v>#N/A</v>
      </c>
      <c r="F42" s="63"/>
      <c r="G42" s="64"/>
      <c r="H42" s="65"/>
      <c r="I42" s="66"/>
      <c r="J42" s="67"/>
      <c r="K42" s="68"/>
      <c r="L42" s="68"/>
      <c r="M42" s="69"/>
      <c r="N42" s="67"/>
      <c r="O42" s="8" t="e">
        <f t="shared" si="1"/>
        <v>#N/A</v>
      </c>
      <c r="P42" s="65"/>
      <c r="Q42" s="9" t="e">
        <f t="shared" si="0"/>
        <v>#N/A</v>
      </c>
      <c r="R42" s="79"/>
      <c r="S42" s="78"/>
      <c r="T42" s="7" t="e">
        <f>VLOOKUP(P42,LISTAS!$L$2:$M$5,2,FALSE)</f>
        <v>#N/A</v>
      </c>
    </row>
    <row r="43" spans="2:20" x14ac:dyDescent="0.2">
      <c r="B43" s="25"/>
      <c r="C43" s="26"/>
      <c r="D43" s="3" t="e">
        <f>VLOOKUP(TUBERIAS!C43,LISTAS!$C$3:$D$16,2,FALSE)</f>
        <v>#N/A</v>
      </c>
      <c r="E43" s="4" t="e">
        <f t="shared" si="2"/>
        <v>#N/A</v>
      </c>
      <c r="F43" s="63"/>
      <c r="G43" s="64"/>
      <c r="H43" s="65"/>
      <c r="I43" s="66"/>
      <c r="J43" s="67"/>
      <c r="K43" s="68"/>
      <c r="L43" s="68"/>
      <c r="M43" s="69"/>
      <c r="N43" s="67"/>
      <c r="O43" s="8" t="e">
        <f t="shared" si="1"/>
        <v>#N/A</v>
      </c>
      <c r="P43" s="65"/>
      <c r="Q43" s="9" t="e">
        <f t="shared" si="0"/>
        <v>#N/A</v>
      </c>
      <c r="R43" s="79"/>
      <c r="S43" s="78"/>
      <c r="T43" s="7" t="e">
        <f>VLOOKUP(P43,LISTAS!$L$2:$M$5,2,FALSE)</f>
        <v>#N/A</v>
      </c>
    </row>
    <row r="44" spans="2:20" x14ac:dyDescent="0.2">
      <c r="B44" s="25"/>
      <c r="C44" s="26"/>
      <c r="D44" s="3" t="e">
        <f>VLOOKUP(TUBERIAS!C44,LISTAS!$C$3:$D$16,2,FALSE)</f>
        <v>#N/A</v>
      </c>
      <c r="E44" s="4" t="e">
        <f t="shared" si="2"/>
        <v>#N/A</v>
      </c>
      <c r="F44" s="63"/>
      <c r="G44" s="64"/>
      <c r="H44" s="65"/>
      <c r="I44" s="66"/>
      <c r="J44" s="67"/>
      <c r="K44" s="68"/>
      <c r="L44" s="68"/>
      <c r="M44" s="69"/>
      <c r="N44" s="67"/>
      <c r="O44" s="8" t="e">
        <f t="shared" si="1"/>
        <v>#N/A</v>
      </c>
      <c r="P44" s="65"/>
      <c r="Q44" s="9" t="e">
        <f t="shared" si="0"/>
        <v>#N/A</v>
      </c>
      <c r="R44" s="79"/>
      <c r="S44" s="78"/>
      <c r="T44" s="7" t="e">
        <f>VLOOKUP(P44,LISTAS!$L$2:$M$5,2,FALSE)</f>
        <v>#N/A</v>
      </c>
    </row>
    <row r="45" spans="2:20" x14ac:dyDescent="0.2">
      <c r="B45" s="25"/>
      <c r="C45" s="26"/>
      <c r="D45" s="3" t="e">
        <f>VLOOKUP(TUBERIAS!C45,LISTAS!$C$3:$D$16,2,FALSE)</f>
        <v>#N/A</v>
      </c>
      <c r="E45" s="4" t="e">
        <f t="shared" si="2"/>
        <v>#N/A</v>
      </c>
      <c r="F45" s="63"/>
      <c r="G45" s="64"/>
      <c r="H45" s="65"/>
      <c r="I45" s="66"/>
      <c r="J45" s="67"/>
      <c r="K45" s="68"/>
      <c r="L45" s="68"/>
      <c r="M45" s="69"/>
      <c r="N45" s="67"/>
      <c r="O45" s="8" t="e">
        <f t="shared" si="1"/>
        <v>#N/A</v>
      </c>
      <c r="P45" s="65"/>
      <c r="Q45" s="9" t="e">
        <f t="shared" si="0"/>
        <v>#N/A</v>
      </c>
      <c r="R45" s="79"/>
      <c r="S45" s="78"/>
      <c r="T45" s="7" t="e">
        <f>VLOOKUP(P45,LISTAS!$L$2:$M$5,2,FALSE)</f>
        <v>#N/A</v>
      </c>
    </row>
    <row r="46" spans="2:20" x14ac:dyDescent="0.2">
      <c r="B46" s="25"/>
      <c r="C46" s="26"/>
      <c r="D46" s="3" t="e">
        <f>VLOOKUP(TUBERIAS!C46,LISTAS!$C$3:$D$16,2,FALSE)</f>
        <v>#N/A</v>
      </c>
      <c r="E46" s="4" t="e">
        <f t="shared" si="2"/>
        <v>#N/A</v>
      </c>
      <c r="F46" s="63"/>
      <c r="G46" s="64"/>
      <c r="H46" s="65"/>
      <c r="I46" s="66"/>
      <c r="J46" s="67"/>
      <c r="K46" s="68"/>
      <c r="L46" s="68"/>
      <c r="M46" s="69"/>
      <c r="N46" s="67"/>
      <c r="O46" s="8" t="e">
        <f t="shared" si="1"/>
        <v>#N/A</v>
      </c>
      <c r="P46" s="65"/>
      <c r="Q46" s="9" t="e">
        <f t="shared" si="0"/>
        <v>#N/A</v>
      </c>
      <c r="R46" s="79"/>
      <c r="S46" s="78"/>
      <c r="T46" s="7" t="e">
        <f>VLOOKUP(P46,LISTAS!$L$2:$M$5,2,FALSE)</f>
        <v>#N/A</v>
      </c>
    </row>
    <row r="47" spans="2:20" x14ac:dyDescent="0.2">
      <c r="B47" s="25"/>
      <c r="C47" s="26"/>
      <c r="D47" s="3" t="e">
        <f>VLOOKUP(TUBERIAS!C47,LISTAS!$C$3:$D$16,2,FALSE)</f>
        <v>#N/A</v>
      </c>
      <c r="E47" s="4" t="e">
        <f t="shared" si="2"/>
        <v>#N/A</v>
      </c>
      <c r="F47" s="63"/>
      <c r="G47" s="64"/>
      <c r="H47" s="65"/>
      <c r="I47" s="66"/>
      <c r="J47" s="67"/>
      <c r="K47" s="68"/>
      <c r="L47" s="68"/>
      <c r="M47" s="69"/>
      <c r="N47" s="67"/>
      <c r="O47" s="8" t="e">
        <f t="shared" si="1"/>
        <v>#N/A</v>
      </c>
      <c r="P47" s="65"/>
      <c r="Q47" s="9" t="e">
        <f t="shared" si="0"/>
        <v>#N/A</v>
      </c>
      <c r="R47" s="79"/>
      <c r="S47" s="78"/>
      <c r="T47" s="7" t="e">
        <f>VLOOKUP(P47,LISTAS!$L$2:$M$5,2,FALSE)</f>
        <v>#N/A</v>
      </c>
    </row>
    <row r="48" spans="2:20" x14ac:dyDescent="0.2">
      <c r="B48" s="25"/>
      <c r="C48" s="26"/>
      <c r="D48" s="3" t="e">
        <f>VLOOKUP(TUBERIAS!C48,LISTAS!$C$3:$D$16,2,FALSE)</f>
        <v>#N/A</v>
      </c>
      <c r="E48" s="4" t="e">
        <f t="shared" si="2"/>
        <v>#N/A</v>
      </c>
      <c r="F48" s="63"/>
      <c r="G48" s="64"/>
      <c r="H48" s="65"/>
      <c r="I48" s="66"/>
      <c r="J48" s="67"/>
      <c r="K48" s="68"/>
      <c r="L48" s="68"/>
      <c r="M48" s="69"/>
      <c r="N48" s="67"/>
      <c r="O48" s="8" t="e">
        <f t="shared" si="1"/>
        <v>#N/A</v>
      </c>
      <c r="P48" s="65"/>
      <c r="Q48" s="9" t="e">
        <f t="shared" si="0"/>
        <v>#N/A</v>
      </c>
      <c r="R48" s="79"/>
      <c r="S48" s="78"/>
      <c r="T48" s="7" t="e">
        <f>VLOOKUP(P48,LISTAS!$L$2:$M$5,2,FALSE)</f>
        <v>#N/A</v>
      </c>
    </row>
    <row r="49" spans="2:20" x14ac:dyDescent="0.2">
      <c r="B49" s="25"/>
      <c r="C49" s="26"/>
      <c r="D49" s="3" t="e">
        <f>VLOOKUP(TUBERIAS!C49,LISTAS!$C$3:$D$16,2,FALSE)</f>
        <v>#N/A</v>
      </c>
      <c r="E49" s="4" t="e">
        <f t="shared" si="2"/>
        <v>#N/A</v>
      </c>
      <c r="F49" s="63"/>
      <c r="G49" s="64"/>
      <c r="H49" s="65"/>
      <c r="I49" s="66"/>
      <c r="J49" s="67"/>
      <c r="K49" s="68"/>
      <c r="L49" s="68"/>
      <c r="M49" s="69"/>
      <c r="N49" s="67"/>
      <c r="O49" s="8" t="e">
        <f t="shared" si="1"/>
        <v>#N/A</v>
      </c>
      <c r="P49" s="65"/>
      <c r="Q49" s="9" t="e">
        <f t="shared" si="0"/>
        <v>#N/A</v>
      </c>
      <c r="R49" s="79"/>
      <c r="S49" s="78"/>
      <c r="T49" s="7" t="e">
        <f>VLOOKUP(P49,LISTAS!$L$2:$M$5,2,FALSE)</f>
        <v>#N/A</v>
      </c>
    </row>
    <row r="50" spans="2:20" ht="16" thickBot="1" x14ac:dyDescent="0.25">
      <c r="B50" s="27"/>
      <c r="C50" s="28"/>
      <c r="D50" s="5" t="e">
        <f>VLOOKUP(TUBERIAS!C50,LISTAS!$C$3:$D$16,2,FALSE)</f>
        <v>#N/A</v>
      </c>
      <c r="E50" s="6" t="e">
        <f t="shared" si="2"/>
        <v>#N/A</v>
      </c>
      <c r="F50" s="70"/>
      <c r="G50" s="71"/>
      <c r="H50" s="72"/>
      <c r="I50" s="73"/>
      <c r="J50" s="74"/>
      <c r="K50" s="75"/>
      <c r="L50" s="75"/>
      <c r="M50" s="76"/>
      <c r="N50" s="74"/>
      <c r="O50" s="8" t="e">
        <f t="shared" si="1"/>
        <v>#N/A</v>
      </c>
      <c r="P50" s="72"/>
      <c r="Q50" s="10" t="e">
        <f t="shared" si="0"/>
        <v>#N/A</v>
      </c>
      <c r="R50" s="81"/>
      <c r="S50" s="82"/>
      <c r="T50" s="7" t="e">
        <f>VLOOKUP(P50,LISTAS!$L$2:$M$5,2,FALSE)</f>
        <v>#N/A</v>
      </c>
    </row>
    <row r="51" spans="2:20" x14ac:dyDescent="0.2">
      <c r="B51" s="12"/>
      <c r="S51" s="13"/>
    </row>
    <row r="52" spans="2:20" x14ac:dyDescent="0.2">
      <c r="B52" s="12"/>
      <c r="S52" s="13"/>
    </row>
    <row r="53" spans="2:20" x14ac:dyDescent="0.2">
      <c r="B53" s="12"/>
      <c r="S53" s="13"/>
    </row>
    <row r="54" spans="2:20" x14ac:dyDescent="0.2">
      <c r="B54" s="12"/>
      <c r="S54" s="13"/>
    </row>
    <row r="55" spans="2:20" x14ac:dyDescent="0.2">
      <c r="B55" s="12"/>
      <c r="S55" s="13"/>
    </row>
    <row r="56" spans="2:20" x14ac:dyDescent="0.2">
      <c r="B56" s="12"/>
      <c r="S56" s="13"/>
    </row>
    <row r="57" spans="2:20" x14ac:dyDescent="0.2">
      <c r="B57" s="12"/>
      <c r="S57" s="13"/>
    </row>
    <row r="58" spans="2:20" x14ac:dyDescent="0.2">
      <c r="B58" s="12"/>
      <c r="S58" s="13"/>
    </row>
    <row r="59" spans="2:20" x14ac:dyDescent="0.2">
      <c r="B59" s="12"/>
      <c r="S59" s="13"/>
    </row>
    <row r="60" spans="2:20" x14ac:dyDescent="0.2">
      <c r="B60" s="12"/>
      <c r="S60" s="13"/>
    </row>
    <row r="61" spans="2:20" x14ac:dyDescent="0.2">
      <c r="B61" s="12"/>
      <c r="S61" s="13"/>
    </row>
    <row r="62" spans="2:20" x14ac:dyDescent="0.2">
      <c r="B62" s="12"/>
      <c r="S62" s="13"/>
    </row>
    <row r="63" spans="2:20" x14ac:dyDescent="0.2">
      <c r="B63" s="12"/>
      <c r="S63" s="13"/>
    </row>
    <row r="64" spans="2:20" x14ac:dyDescent="0.2">
      <c r="B64" s="12"/>
      <c r="S64" s="13"/>
    </row>
    <row r="65" spans="2:19" ht="16" thickBot="1" x14ac:dyDescent="0.25">
      <c r="B65" s="14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6"/>
    </row>
  </sheetData>
  <sheetProtection algorithmName="SHA-512" hashValue="qvIYJYGoU+w7cH6DNmEK5nbvnSqvNK/G4SA0f3yHktguQ9qXb77Dk6NswAKQNCXJIbc9a9pq/hVvsfRMZFjvyA==" saltValue="4QSZ9N+H4cTejdKbucMEsw==" spinCount="100000" sheet="1" objects="1" scenarios="1" selectLockedCells="1"/>
  <mergeCells count="13">
    <mergeCell ref="B2:S11"/>
    <mergeCell ref="B14:H14"/>
    <mergeCell ref="I14:S18"/>
    <mergeCell ref="C15:H15"/>
    <mergeCell ref="C16:H16"/>
    <mergeCell ref="C17:H17"/>
    <mergeCell ref="G20:I20"/>
    <mergeCell ref="C18:H18"/>
    <mergeCell ref="R20:R21"/>
    <mergeCell ref="S20:S21"/>
    <mergeCell ref="J20:M20"/>
    <mergeCell ref="B20:F20"/>
    <mergeCell ref="N20:Q20"/>
  </mergeCells>
  <phoneticPr fontId="6" type="noConversion"/>
  <dataValidations count="1">
    <dataValidation allowBlank="1" showInputMessage="1" sqref="E22:E50 N22:O50" xr:uid="{00000000-0002-0000-0000-000000000000}"/>
  </dataValidations>
  <pageMargins left="0.7" right="0.7" top="0.75" bottom="0.75" header="0.3" footer="0.3"/>
  <pageSetup scale="3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xr:uid="{00000000-0002-0000-0000-000001000000}">
          <x14:formula1>
            <xm:f>LISTAS!$D$4:$D$16</xm:f>
          </x14:formula1>
          <xm:sqref>F49:F50</xm:sqref>
        </x14:dataValidation>
        <x14:dataValidation type="list" allowBlank="1" showInputMessage="1" xr:uid="{00000000-0002-0000-0000-000003000000}">
          <x14:formula1>
            <xm:f>LISTAS!$E$3:$E$4</xm:f>
          </x14:formula1>
          <xm:sqref>F22:F50</xm:sqref>
        </x14:dataValidation>
        <x14:dataValidation type="list" allowBlank="1" showInputMessage="1" xr:uid="{00000000-0002-0000-0000-000004000000}">
          <x14:formula1>
            <xm:f>LISTAS!$F$3:$F$4</xm:f>
          </x14:formula1>
          <xm:sqref>G22:G50</xm:sqref>
        </x14:dataValidation>
        <x14:dataValidation type="list" allowBlank="1" showInputMessage="1" xr:uid="{00000000-0002-0000-0000-000009000000}">
          <x14:formula1>
            <xm:f>LISTAS!$K$3:$K$9</xm:f>
          </x14:formula1>
          <xm:sqref>M22:M50</xm:sqref>
        </x14:dataValidation>
        <x14:dataValidation type="list" allowBlank="1" showInputMessage="1" xr:uid="{00000000-0002-0000-0000-00000A000000}">
          <x14:formula1>
            <xm:f>LISTAS!$L$3:$L$6</xm:f>
          </x14:formula1>
          <xm:sqref>P22:P50</xm:sqref>
        </x14:dataValidation>
        <x14:dataValidation type="list" allowBlank="1" showInputMessage="1" xr:uid="{C437B4E3-9931-4B03-A945-DE9414669E44}">
          <x14:formula1>
            <xm:f>LISTAS!$C$3:$C$16</xm:f>
          </x14:formula1>
          <xm:sqref>F22:F48 C22:E50</xm:sqref>
        </x14:dataValidation>
        <x14:dataValidation type="list" allowBlank="1" showInputMessage="1" xr:uid="{00000000-0002-0000-0000-000008000000}">
          <x14:formula1>
            <xm:f>LISTAS!$J$3:$J$9</xm:f>
          </x14:formula1>
          <xm:sqref>F22:F50 I22:I50</xm:sqref>
        </x14:dataValidation>
        <x14:dataValidation type="list" allowBlank="1" showInputMessage="1" xr:uid="{CC954D80-8255-49C8-8DFC-812EC5BED5E4}">
          <x14:formula1>
            <xm:f>LISTAS!$N$3:$N$4</xm:f>
          </x14:formula1>
          <xm:sqref>L22:L50</xm:sqref>
        </x14:dataValidation>
        <x14:dataValidation type="list" allowBlank="1" showInputMessage="1" xr:uid="{F154F825-1445-4BEA-AE47-2F3138346EDD}">
          <x14:formula1>
            <xm:f>LISTAS!$B$3:$B$6</xm:f>
          </x14:formula1>
          <xm:sqref>B22:B50</xm:sqref>
        </x14:dataValidation>
        <x14:dataValidation type="list" allowBlank="1" showInputMessage="1" xr:uid="{D9B164A7-9DC7-4DFA-8269-857EFA9DB85F}">
          <x14:formula1>
            <xm:f>LISTAS!$G$3:$G$8</xm:f>
          </x14:formula1>
          <xm:sqref>H22:H50</xm:sqref>
        </x14:dataValidation>
        <x14:dataValidation type="list" allowBlank="1" showInputMessage="1" xr:uid="{1E0AF9C7-470D-41DF-9798-9A9BCF9BA11E}">
          <x14:formula1>
            <xm:f>LISTAS!$H$3:$H$9</xm:f>
          </x14:formula1>
          <xm:sqref>J22:J50</xm:sqref>
        </x14:dataValidation>
        <x14:dataValidation type="list" allowBlank="1" showInputMessage="1" xr:uid="{35E55EF6-50BA-4CD5-82F9-8D5BDDEE198A}">
          <x14:formula1>
            <xm:f>LISTAS!$I$3:$I$9</xm:f>
          </x14:formula1>
          <xm:sqref>K22:K50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14"/>
  <sheetViews>
    <sheetView showGridLines="0" showRowColHeaders="0" view="pageBreakPreview" zoomScale="202" zoomScaleNormal="140" zoomScaleSheetLayoutView="202" workbookViewId="0">
      <selection activeCell="C7" sqref="C7"/>
    </sheetView>
  </sheetViews>
  <sheetFormatPr baseColWidth="10" defaultColWidth="10.83203125" defaultRowHeight="15" x14ac:dyDescent="0.2"/>
  <cols>
    <col min="1" max="1" width="1.1640625" customWidth="1"/>
    <col min="2" max="2" width="22" customWidth="1"/>
    <col min="3" max="3" width="21.5" customWidth="1"/>
    <col min="4" max="4" width="26.5" customWidth="1"/>
    <col min="5" max="5" width="4.5" customWidth="1"/>
  </cols>
  <sheetData>
    <row r="1" spans="2:4" ht="16" thickBot="1" x14ac:dyDescent="0.25"/>
    <row r="2" spans="2:4" ht="55.5" customHeight="1" x14ac:dyDescent="0.2">
      <c r="B2" s="98"/>
      <c r="C2" s="99"/>
      <c r="D2" s="100"/>
    </row>
    <row r="3" spans="2:4" ht="5.25" customHeight="1" thickBot="1" x14ac:dyDescent="0.25">
      <c r="B3" s="101"/>
      <c r="C3" s="102"/>
      <c r="D3" s="103"/>
    </row>
    <row r="4" spans="2:4" ht="16" thickBot="1" x14ac:dyDescent="0.25">
      <c r="B4" s="107" t="s">
        <v>106</v>
      </c>
      <c r="C4" s="108"/>
      <c r="D4" s="109"/>
    </row>
    <row r="5" spans="2:4" ht="12.75" customHeight="1" x14ac:dyDescent="0.2">
      <c r="B5" s="110" t="s">
        <v>1</v>
      </c>
      <c r="C5" s="29" t="s">
        <v>2</v>
      </c>
      <c r="D5" s="30" t="s">
        <v>3</v>
      </c>
    </row>
    <row r="6" spans="2:4" ht="17.25" customHeight="1" thickBot="1" x14ac:dyDescent="0.25">
      <c r="B6" s="111"/>
      <c r="C6" s="31">
        <v>600</v>
      </c>
      <c r="D6" s="32">
        <v>310</v>
      </c>
    </row>
    <row r="7" spans="2:4" x14ac:dyDescent="0.2">
      <c r="B7" s="33" t="s">
        <v>107</v>
      </c>
      <c r="C7" s="38">
        <v>2000</v>
      </c>
      <c r="D7" s="38">
        <v>170</v>
      </c>
    </row>
    <row r="8" spans="2:4" x14ac:dyDescent="0.2">
      <c r="B8" s="34" t="s">
        <v>4</v>
      </c>
      <c r="C8" s="39">
        <v>25</v>
      </c>
      <c r="D8" s="39">
        <v>10</v>
      </c>
    </row>
    <row r="9" spans="2:4" x14ac:dyDescent="0.2">
      <c r="B9" s="34" t="s">
        <v>5</v>
      </c>
      <c r="C9" s="39">
        <v>3</v>
      </c>
      <c r="D9" s="39">
        <v>5</v>
      </c>
    </row>
    <row r="10" spans="2:4" x14ac:dyDescent="0.2">
      <c r="B10" s="34" t="s">
        <v>108</v>
      </c>
      <c r="C10" s="35">
        <f>+(C7*C8*C9)/C6</f>
        <v>250</v>
      </c>
      <c r="D10" s="35">
        <f>+(D7*D8*D9)/D6</f>
        <v>27.419354838709676</v>
      </c>
    </row>
    <row r="11" spans="2:4" x14ac:dyDescent="0.2">
      <c r="B11" s="34" t="s">
        <v>6</v>
      </c>
      <c r="C11" s="40">
        <v>0.1</v>
      </c>
      <c r="D11" s="40">
        <v>0.05</v>
      </c>
    </row>
    <row r="12" spans="2:4" ht="16" thickBot="1" x14ac:dyDescent="0.25">
      <c r="B12" s="34" t="s">
        <v>7</v>
      </c>
      <c r="C12" s="36">
        <f>+C10*(1+C11)</f>
        <v>275</v>
      </c>
      <c r="D12" s="37">
        <f>+D10*(1+D11)</f>
        <v>28.79032258064516</v>
      </c>
    </row>
    <row r="13" spans="2:4" ht="6" customHeight="1" x14ac:dyDescent="0.2">
      <c r="B13" s="115"/>
      <c r="C13" s="116"/>
      <c r="D13" s="117"/>
    </row>
    <row r="14" spans="2:4" ht="72" customHeight="1" thickBot="1" x14ac:dyDescent="0.25">
      <c r="B14" s="112"/>
      <c r="C14" s="113"/>
      <c r="D14" s="114"/>
    </row>
  </sheetData>
  <sheetProtection algorithmName="SHA-512" hashValue="zshVoTMJKRIj6At1MxQXSESSv68CzpIMzJ2rfYMMiw+FHkrX11WhfIPcX5PaJSKZ3WuEHWJdlWVjyEsX2HfdrQ==" saltValue="WOwE+8WmF87/KIfqMnIcdg==" spinCount="100000" sheet="1" objects="1" scenarios="1" selectLockedCells="1"/>
  <mergeCells count="6">
    <mergeCell ref="B4:D4"/>
    <mergeCell ref="B5:B6"/>
    <mergeCell ref="B2:D2"/>
    <mergeCell ref="B3:D3"/>
    <mergeCell ref="B14:D14"/>
    <mergeCell ref="B13:D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19"/>
  <sheetViews>
    <sheetView showGridLines="0" showRowColHeaders="0" workbookViewId="0">
      <selection activeCell="I6" sqref="I6"/>
    </sheetView>
  </sheetViews>
  <sheetFormatPr baseColWidth="10" defaultColWidth="9.1640625" defaultRowHeight="15" x14ac:dyDescent="0.2"/>
  <cols>
    <col min="1" max="1" width="1.33203125" customWidth="1"/>
    <col min="2" max="2" width="15.1640625" bestFit="1" customWidth="1"/>
    <col min="3" max="3" width="15.1640625" style="11" customWidth="1"/>
    <col min="4" max="4" width="10" style="11" bestFit="1" customWidth="1"/>
    <col min="6" max="6" width="16.5" customWidth="1"/>
    <col min="7" max="7" width="18.1640625" customWidth="1"/>
    <col min="8" max="8" width="13.6640625" customWidth="1"/>
    <col min="9" max="9" width="12.6640625" customWidth="1"/>
    <col min="10" max="10" width="14.5" customWidth="1"/>
    <col min="11" max="11" width="16.6640625" customWidth="1"/>
    <col min="12" max="12" width="14.5" customWidth="1"/>
    <col min="14" max="14" width="19.33203125" bestFit="1" customWidth="1"/>
    <col min="15" max="15" width="16.1640625" customWidth="1"/>
  </cols>
  <sheetData>
    <row r="1" spans="2:16" ht="16" thickBot="1" x14ac:dyDescent="0.25"/>
    <row r="2" spans="2:16" ht="48.75" customHeight="1" thickBot="1" x14ac:dyDescent="0.25">
      <c r="B2" s="41" t="s">
        <v>8</v>
      </c>
      <c r="C2" s="42" t="s">
        <v>13</v>
      </c>
      <c r="D2" s="42" t="s">
        <v>13</v>
      </c>
      <c r="E2" s="42" t="s">
        <v>14</v>
      </c>
      <c r="F2" s="42" t="s">
        <v>15</v>
      </c>
      <c r="G2" s="43" t="s">
        <v>16</v>
      </c>
      <c r="H2" s="43" t="s">
        <v>22</v>
      </c>
      <c r="I2" s="43" t="s">
        <v>102</v>
      </c>
      <c r="J2" s="43" t="s">
        <v>101</v>
      </c>
      <c r="K2" s="42" t="s">
        <v>100</v>
      </c>
      <c r="L2" s="43" t="s">
        <v>99</v>
      </c>
      <c r="M2" s="43" t="s">
        <v>71</v>
      </c>
      <c r="N2" s="43" t="s">
        <v>97</v>
      </c>
      <c r="O2" s="43" t="s">
        <v>91</v>
      </c>
      <c r="P2" s="44" t="s">
        <v>98</v>
      </c>
    </row>
    <row r="3" spans="2:16" x14ac:dyDescent="0.2">
      <c r="B3" s="45" t="s">
        <v>9</v>
      </c>
      <c r="C3" s="46" t="s">
        <v>40</v>
      </c>
      <c r="D3" s="46">
        <v>6.35</v>
      </c>
      <c r="E3" s="47">
        <v>1</v>
      </c>
      <c r="F3" s="47" t="s">
        <v>47</v>
      </c>
      <c r="G3" s="47" t="s">
        <v>17</v>
      </c>
      <c r="H3" s="47">
        <v>5</v>
      </c>
      <c r="I3" s="47">
        <v>6</v>
      </c>
      <c r="J3" s="47">
        <v>10</v>
      </c>
      <c r="K3" s="47" t="s">
        <v>63</v>
      </c>
      <c r="L3" s="48" t="s">
        <v>25</v>
      </c>
      <c r="M3" s="47">
        <v>600</v>
      </c>
      <c r="N3" s="47" t="s">
        <v>68</v>
      </c>
      <c r="O3" s="49" t="s">
        <v>74</v>
      </c>
      <c r="P3" s="50">
        <f>20*15</f>
        <v>300</v>
      </c>
    </row>
    <row r="4" spans="2:16" x14ac:dyDescent="0.2">
      <c r="B4" s="51" t="s">
        <v>10</v>
      </c>
      <c r="C4" s="52" t="s">
        <v>41</v>
      </c>
      <c r="D4" s="52">
        <v>9.5250000000000004</v>
      </c>
      <c r="E4" s="53">
        <v>2</v>
      </c>
      <c r="F4" s="53" t="s">
        <v>48</v>
      </c>
      <c r="G4" s="53" t="s">
        <v>0</v>
      </c>
      <c r="H4" s="53">
        <v>10</v>
      </c>
      <c r="I4" s="53">
        <v>10</v>
      </c>
      <c r="J4" s="53">
        <v>11</v>
      </c>
      <c r="K4" s="53" t="s">
        <v>61</v>
      </c>
      <c r="L4" s="54" t="s">
        <v>50</v>
      </c>
      <c r="M4" s="53">
        <v>310</v>
      </c>
      <c r="N4" s="53" t="s">
        <v>69</v>
      </c>
      <c r="O4" s="55" t="s">
        <v>75</v>
      </c>
      <c r="P4" s="56">
        <f>35*15</f>
        <v>525</v>
      </c>
    </row>
    <row r="5" spans="2:16" x14ac:dyDescent="0.2">
      <c r="B5" s="51" t="s">
        <v>11</v>
      </c>
      <c r="C5" s="52" t="s">
        <v>33</v>
      </c>
      <c r="D5" s="52">
        <v>12.7</v>
      </c>
      <c r="E5" s="53"/>
      <c r="F5" s="53"/>
      <c r="G5" s="53" t="s">
        <v>18</v>
      </c>
      <c r="H5" s="53">
        <v>15</v>
      </c>
      <c r="I5" s="53">
        <v>15</v>
      </c>
      <c r="J5" s="53">
        <v>12</v>
      </c>
      <c r="K5" s="53" t="s">
        <v>62</v>
      </c>
      <c r="L5" s="54" t="s">
        <v>26</v>
      </c>
      <c r="M5" s="53">
        <v>19000</v>
      </c>
      <c r="N5" s="53"/>
      <c r="O5" s="55" t="s">
        <v>76</v>
      </c>
      <c r="P5" s="56">
        <f>45*15</f>
        <v>675</v>
      </c>
    </row>
    <row r="6" spans="2:16" x14ac:dyDescent="0.2">
      <c r="B6" s="51" t="s">
        <v>12</v>
      </c>
      <c r="C6" s="52" t="s">
        <v>42</v>
      </c>
      <c r="D6" s="52">
        <v>15.875</v>
      </c>
      <c r="E6" s="53"/>
      <c r="F6" s="53"/>
      <c r="G6" s="53" t="s">
        <v>19</v>
      </c>
      <c r="H6" s="53">
        <v>20</v>
      </c>
      <c r="I6" s="53">
        <v>20</v>
      </c>
      <c r="J6" s="53">
        <v>13</v>
      </c>
      <c r="K6" s="53" t="s">
        <v>64</v>
      </c>
      <c r="L6" s="54" t="s">
        <v>21</v>
      </c>
      <c r="M6" s="53"/>
      <c r="N6" s="53"/>
      <c r="O6" s="55" t="s">
        <v>77</v>
      </c>
      <c r="P6" s="56">
        <f>54*15</f>
        <v>810</v>
      </c>
    </row>
    <row r="7" spans="2:16" x14ac:dyDescent="0.2">
      <c r="B7" s="51" t="s">
        <v>66</v>
      </c>
      <c r="C7" s="52" t="s">
        <v>43</v>
      </c>
      <c r="D7" s="52">
        <v>19.05</v>
      </c>
      <c r="E7" s="53"/>
      <c r="F7" s="53"/>
      <c r="G7" s="53" t="s">
        <v>20</v>
      </c>
      <c r="H7" s="53">
        <v>25</v>
      </c>
      <c r="I7" s="53">
        <v>25</v>
      </c>
      <c r="J7" s="53">
        <v>14</v>
      </c>
      <c r="K7" s="53" t="s">
        <v>65</v>
      </c>
      <c r="L7" s="53"/>
      <c r="M7" s="53"/>
      <c r="N7" s="53"/>
      <c r="O7" s="55" t="s">
        <v>78</v>
      </c>
      <c r="P7" s="56">
        <f>80*15</f>
        <v>1200</v>
      </c>
    </row>
    <row r="8" spans="2:16" x14ac:dyDescent="0.2">
      <c r="B8" s="51" t="s">
        <v>67</v>
      </c>
      <c r="C8" s="52" t="s">
        <v>44</v>
      </c>
      <c r="D8" s="52">
        <v>22.225000000000001</v>
      </c>
      <c r="E8" s="53"/>
      <c r="F8" s="53"/>
      <c r="G8" s="53" t="s">
        <v>21</v>
      </c>
      <c r="H8" s="53">
        <v>30</v>
      </c>
      <c r="I8" s="53">
        <v>20</v>
      </c>
      <c r="J8" s="53">
        <v>15</v>
      </c>
      <c r="K8" s="53"/>
      <c r="L8" s="53"/>
      <c r="M8" s="53"/>
      <c r="N8" s="53"/>
      <c r="O8" s="55" t="s">
        <v>79</v>
      </c>
      <c r="P8" s="57">
        <f>15.24*10.16</f>
        <v>154.83840000000001</v>
      </c>
    </row>
    <row r="9" spans="2:16" x14ac:dyDescent="0.2">
      <c r="B9" s="51"/>
      <c r="C9" s="52" t="s">
        <v>34</v>
      </c>
      <c r="D9" s="52">
        <v>25.4</v>
      </c>
      <c r="E9" s="53"/>
      <c r="F9" s="53"/>
      <c r="G9" s="53"/>
      <c r="H9" s="53">
        <v>35</v>
      </c>
      <c r="I9" s="53">
        <v>35</v>
      </c>
      <c r="J9" s="53"/>
      <c r="K9" s="53"/>
      <c r="L9" s="53"/>
      <c r="M9" s="53"/>
      <c r="N9" s="53"/>
      <c r="O9" s="55" t="s">
        <v>80</v>
      </c>
      <c r="P9" s="56">
        <f>10.16*20.32</f>
        <v>206.4512</v>
      </c>
    </row>
    <row r="10" spans="2:16" x14ac:dyDescent="0.2">
      <c r="B10" s="51"/>
      <c r="C10" s="52" t="s">
        <v>45</v>
      </c>
      <c r="D10" s="52">
        <v>31.75</v>
      </c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5" t="s">
        <v>81</v>
      </c>
      <c r="P10" s="56">
        <f>15.24*25.4</f>
        <v>387.096</v>
      </c>
    </row>
    <row r="11" spans="2:16" x14ac:dyDescent="0.2">
      <c r="B11" s="51"/>
      <c r="C11" s="52" t="s">
        <v>39</v>
      </c>
      <c r="D11" s="52">
        <v>38.1</v>
      </c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5" t="s">
        <v>82</v>
      </c>
      <c r="P11" s="56">
        <f>20.32*30.48</f>
        <v>619.35360000000003</v>
      </c>
    </row>
    <row r="12" spans="2:16" x14ac:dyDescent="0.2">
      <c r="B12" s="51"/>
      <c r="C12" s="52" t="s">
        <v>35</v>
      </c>
      <c r="D12" s="52">
        <f>D9*2</f>
        <v>50.8</v>
      </c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5" t="s">
        <v>83</v>
      </c>
      <c r="P12" s="56">
        <f>30.48*35.56</f>
        <v>1083.8688000000002</v>
      </c>
    </row>
    <row r="13" spans="2:16" x14ac:dyDescent="0.2">
      <c r="B13" s="51"/>
      <c r="C13" s="52" t="s">
        <v>36</v>
      </c>
      <c r="D13" s="52">
        <f>D9*3</f>
        <v>76.199999999999989</v>
      </c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5" t="s">
        <v>84</v>
      </c>
      <c r="P13" s="56">
        <f>40.64*40.64</f>
        <v>1651.6096</v>
      </c>
    </row>
    <row r="14" spans="2:16" x14ac:dyDescent="0.2">
      <c r="B14" s="51"/>
      <c r="C14" s="52" t="s">
        <v>37</v>
      </c>
      <c r="D14" s="52">
        <f>D9*4</f>
        <v>101.6</v>
      </c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5" t="s">
        <v>85</v>
      </c>
      <c r="P14" s="56">
        <f>25.4*40.64</f>
        <v>1032.2559999999999</v>
      </c>
    </row>
    <row r="15" spans="2:16" x14ac:dyDescent="0.2">
      <c r="B15" s="51"/>
      <c r="C15" s="52" t="s">
        <v>38</v>
      </c>
      <c r="D15" s="52">
        <f>D9*5</f>
        <v>127</v>
      </c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5" t="s">
        <v>86</v>
      </c>
      <c r="P15" s="56">
        <f>45.72*55.88</f>
        <v>2554.8335999999999</v>
      </c>
    </row>
    <row r="16" spans="2:16" x14ac:dyDescent="0.2">
      <c r="B16" s="51"/>
      <c r="C16" s="52" t="s">
        <v>46</v>
      </c>
      <c r="D16" s="52">
        <f>D9*6</f>
        <v>152.39999999999998</v>
      </c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5" t="s">
        <v>87</v>
      </c>
      <c r="P16" s="56">
        <f>55.88*60.96</f>
        <v>3406.4448000000002</v>
      </c>
    </row>
    <row r="17" spans="2:16" x14ac:dyDescent="0.2">
      <c r="B17" s="51"/>
      <c r="C17" s="52"/>
      <c r="D17" s="52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5" t="s">
        <v>88</v>
      </c>
      <c r="P17" s="56">
        <f>30.48*76.2</f>
        <v>2322.576</v>
      </c>
    </row>
    <row r="18" spans="2:16" x14ac:dyDescent="0.2">
      <c r="B18" s="51"/>
      <c r="C18" s="52"/>
      <c r="D18" s="52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5" t="s">
        <v>89</v>
      </c>
      <c r="P18" s="56">
        <f>35.56*38*2.54</f>
        <v>3432.2512000000006</v>
      </c>
    </row>
    <row r="19" spans="2:16" ht="16" thickBot="1" x14ac:dyDescent="0.25">
      <c r="B19" s="58"/>
      <c r="C19" s="59"/>
      <c r="D19" s="59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1" t="s">
        <v>90</v>
      </c>
      <c r="P19" s="62">
        <f>60*2.54*30.48</f>
        <v>4645.152</v>
      </c>
    </row>
  </sheetData>
  <sheetProtection selectLockedCells="1"/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TUBERIAS</vt:lpstr>
      <vt:lpstr>JUNTAS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Paez, Javier</dc:creator>
  <cp:lastModifiedBy>Microsoft Office User</cp:lastModifiedBy>
  <dcterms:created xsi:type="dcterms:W3CDTF">2017-01-25T18:37:26Z</dcterms:created>
  <dcterms:modified xsi:type="dcterms:W3CDTF">2022-12-21T19:48:28Z</dcterms:modified>
</cp:coreProperties>
</file>