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remcoinc-my.sharepoint.com/personal/lizethporras_euclidchemical_com_co/Documents/Desktop/"/>
    </mc:Choice>
  </mc:AlternateContent>
  <xr:revisionPtr revIDLastSave="33" documentId="11_F7BB35A39708E9D1EC4D7DE61910EF3C32E28816" xr6:coauthVersionLast="47" xr6:coauthVersionMax="47" xr10:uidLastSave="{6BCBF22E-6EE8-4438-B0CF-6B1D9315AE1C}"/>
  <bookViews>
    <workbookView xWindow="-110" yWindow="-110" windowWidth="19420" windowHeight="10420" tabRatio="817" firstSheet="1" activeTab="5" xr2:uid="{00000000-000D-0000-FFFF-FFFF00000000}"/>
  </bookViews>
  <sheets>
    <sheet name="DATA" sheetId="24" state="hidden" r:id="rId1"/>
    <sheet name="Monopur Trafico Pesado" sheetId="18" r:id="rId2"/>
    <sheet name="Monopur Trafico Liviano" sheetId="34" r:id="rId3"/>
    <sheet name="Cove System Completa" sheetId="33" r:id="rId4"/>
    <sheet name="Cove System Recubrimiento" sheetId="35" r:id="rId5"/>
    <sheet name="Cove System Bordillo" sheetId="37" r:id="rId6"/>
  </sheets>
  <externalReferences>
    <externalReference r:id="rId7"/>
  </externalReferences>
  <definedNames>
    <definedName name="_xlnm.Print_Area" localSheetId="5">'Cove System Bordillo'!$B$1:$N$65</definedName>
    <definedName name="_xlnm.Print_Area" localSheetId="3">'Cove System Completa'!$B$1:$O$62</definedName>
    <definedName name="_xlnm.Print_Area" localSheetId="4">'Cove System Recubrimiento'!$B$1:$N$59</definedName>
    <definedName name="_xlnm.Print_Area" localSheetId="2">'Monopur Trafico Liviano'!$B$1:$M$62</definedName>
    <definedName name="_xlnm.Print_Area" localSheetId="1">'Monopur Trafico Pesado'!$B$1:$M$60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35" l="1"/>
  <c r="D20" i="24" l="1"/>
  <c r="D57" i="24" l="1"/>
  <c r="D10" i="24"/>
  <c r="D9" i="24"/>
  <c r="D8" i="24"/>
  <c r="D7" i="24"/>
  <c r="D6" i="24"/>
  <c r="D5" i="24"/>
  <c r="H90" i="24" l="1"/>
  <c r="D40" i="24"/>
  <c r="D41" i="24"/>
  <c r="D39" i="24"/>
  <c r="E36" i="33"/>
  <c r="G37" i="33"/>
  <c r="H36" i="33"/>
  <c r="J36" i="33"/>
  <c r="F37" i="33"/>
  <c r="C38" i="34"/>
  <c r="C35" i="18"/>
  <c r="M31" i="37" l="1"/>
  <c r="F31" i="37"/>
  <c r="E31" i="37"/>
  <c r="D27" i="37"/>
  <c r="D31" i="37" s="1"/>
  <c r="E32" i="35"/>
  <c r="F28" i="35"/>
  <c r="F32" i="35" s="1"/>
  <c r="D28" i="35"/>
  <c r="D32" i="35" s="1"/>
  <c r="E23" i="18"/>
  <c r="D23" i="18"/>
  <c r="N22" i="33" l="1"/>
  <c r="M16" i="35"/>
  <c r="K26" i="35" s="1"/>
  <c r="L27" i="33"/>
  <c r="M27" i="33" s="1"/>
  <c r="K22" i="35"/>
  <c r="L22" i="35" l="1"/>
  <c r="L23" i="35"/>
  <c r="K31" i="35"/>
  <c r="K21" i="37"/>
  <c r="K30" i="37"/>
  <c r="M16" i="37"/>
  <c r="M22" i="33"/>
  <c r="L31" i="33" s="1"/>
  <c r="L22" i="37" l="1"/>
  <c r="L21" i="37"/>
  <c r="H31" i="18"/>
  <c r="K31" i="18" s="1"/>
  <c r="H34" i="34"/>
  <c r="K34" i="34" s="1"/>
  <c r="C14" i="18"/>
  <c r="I30" i="37" l="1"/>
  <c r="L30" i="37" s="1"/>
  <c r="G30" i="37"/>
  <c r="M30" i="37" s="1"/>
  <c r="D30" i="37"/>
  <c r="M27" i="37"/>
  <c r="M26" i="37"/>
  <c r="M25" i="37"/>
  <c r="M21" i="37"/>
  <c r="K25" i="37"/>
  <c r="L25" i="37" s="1"/>
  <c r="I31" i="35"/>
  <c r="D31" i="35"/>
  <c r="G31" i="35"/>
  <c r="L31" i="37" l="1"/>
  <c r="L26" i="37"/>
  <c r="L27" i="37"/>
  <c r="M31" i="35" l="1"/>
  <c r="M27" i="35"/>
  <c r="M26" i="35"/>
  <c r="M22" i="35"/>
  <c r="L26" i="35" l="1"/>
  <c r="L31" i="35"/>
  <c r="L32" i="35" s="1"/>
  <c r="L27" i="35" l="1"/>
  <c r="L28" i="35"/>
  <c r="H29" i="34" l="1"/>
  <c r="K29" i="34" s="1"/>
  <c r="D30" i="34"/>
  <c r="F30" i="34"/>
  <c r="L30" i="34" s="1"/>
  <c r="F29" i="34"/>
  <c r="L29" i="34" s="1"/>
  <c r="C29" i="34"/>
  <c r="D28" i="34"/>
  <c r="D26" i="34"/>
  <c r="C26" i="34" s="1"/>
  <c r="C17" i="34"/>
  <c r="E38" i="34"/>
  <c r="H37" i="34"/>
  <c r="K37" i="34" s="1"/>
  <c r="F37" i="34"/>
  <c r="L37" i="34" s="1"/>
  <c r="C37" i="34"/>
  <c r="L34" i="34"/>
  <c r="F34" i="34"/>
  <c r="C34" i="34"/>
  <c r="E31" i="34"/>
  <c r="C31" i="34"/>
  <c r="E26" i="34"/>
  <c r="F25" i="34"/>
  <c r="L25" i="34" s="1"/>
  <c r="C25" i="34"/>
  <c r="F22" i="18"/>
  <c r="L22" i="18" s="1"/>
  <c r="C22" i="18"/>
  <c r="H26" i="18"/>
  <c r="F27" i="18"/>
  <c r="L27" i="18" s="1"/>
  <c r="F26" i="18"/>
  <c r="L26" i="18" s="1"/>
  <c r="D27" i="18"/>
  <c r="C26" i="18"/>
  <c r="D25" i="18"/>
  <c r="C23" i="18"/>
  <c r="K38" i="34" l="1"/>
  <c r="K23" i="18"/>
  <c r="K26" i="34"/>
  <c r="K30" i="34"/>
  <c r="K31" i="34" s="1"/>
  <c r="K26" i="18"/>
  <c r="K27" i="18" s="1"/>
  <c r="E35" i="18"/>
  <c r="E37" i="33"/>
  <c r="N36" i="33" l="1"/>
  <c r="E33" i="33"/>
  <c r="M28" i="33"/>
  <c r="L36" i="33"/>
  <c r="M36" i="33" s="1"/>
  <c r="M31" i="33"/>
  <c r="E28" i="18"/>
  <c r="K28" i="18" s="1"/>
  <c r="C28" i="18"/>
  <c r="M33" i="33" l="1"/>
  <c r="F27" i="24" l="1"/>
  <c r="F26" i="24"/>
  <c r="GHX34" i="33" l="1"/>
  <c r="H25" i="34"/>
  <c r="K25" i="34" s="1"/>
  <c r="H22" i="18"/>
  <c r="K22" i="18" s="1"/>
  <c r="C31" i="18"/>
  <c r="F31" i="18"/>
  <c r="H34" i="18" l="1"/>
  <c r="K34" i="18" s="1"/>
  <c r="L34" i="18"/>
  <c r="F34" i="18"/>
  <c r="K35" i="18" l="1"/>
  <c r="C34" i="18" l="1"/>
  <c r="L31" i="18"/>
  <c r="GHX29" i="33" l="1"/>
  <c r="M37" i="33" l="1"/>
  <c r="GHX38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RINCON RUGE</author>
    <author>Lizeth Porras</author>
  </authors>
  <commentList>
    <comment ref="F2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GUSTAVO RINCON RUGE:</t>
        </r>
        <r>
          <rPr>
            <sz val="9"/>
            <color indexed="81"/>
            <rFont val="Tahoma"/>
            <family val="2"/>
          </rPr>
          <t xml:space="preserve">
Antes 18,6(200ft2/kit) era con kit sencillo *16lb, el kit es doble *32lb, prefiero dejar la media de 350ft2/kitdoble = 32,5 m2/kitdoble</t>
        </r>
      </text>
    </comment>
    <comment ref="F4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GUSTAVO RINCON RUGE:</t>
        </r>
        <r>
          <rPr>
            <sz val="9"/>
            <color indexed="81"/>
            <rFont val="Tahoma"/>
            <family val="2"/>
          </rPr>
          <t xml:space="preserve">
según hojas tecnicas son 1lb/ft2 =50ft/bolsa=</t>
        </r>
        <r>
          <rPr>
            <b/>
            <sz val="9"/>
            <color indexed="81"/>
            <rFont val="Tahoma"/>
            <family val="2"/>
          </rPr>
          <t>4,64 m2/bolsa</t>
        </r>
        <r>
          <rPr>
            <sz val="9"/>
            <color indexed="81"/>
            <rFont val="Tahoma"/>
            <family val="2"/>
          </rPr>
          <t xml:space="preserve"> ..antes decia 4,52.</t>
        </r>
      </text>
    </comment>
    <comment ref="D6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Lizeth Porras:</t>
        </r>
        <r>
          <rPr>
            <sz val="9"/>
            <color indexed="81"/>
            <rFont val="Tahoma"/>
            <family val="2"/>
          </rPr>
          <t xml:space="preserve">
PERAN STC: $1.450.000 se tenia, pero se quita de las opciones. Codigo 5936. Presentacion 3 Galones.  Rendimiento 22,3 m2/Kit.  80ft2/gal. No Pigmento. </t>
        </r>
      </text>
    </comment>
    <comment ref="E6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GUSTAVO RINCON RUGE:</t>
        </r>
        <r>
          <rPr>
            <sz val="9"/>
            <color indexed="81"/>
            <rFont val="Tahoma"/>
            <family val="2"/>
          </rPr>
          <t xml:space="preserve">
0.15lb/ft2</t>
        </r>
      </text>
    </comment>
  </commentList>
</comments>
</file>

<file path=xl/sharedStrings.xml><?xml version="1.0" encoding="utf-8"?>
<sst xmlns="http://schemas.openxmlformats.org/spreadsheetml/2006/main" count="522" uniqueCount="232">
  <si>
    <t>DESCRIPCIÓN</t>
  </si>
  <si>
    <t>RENDIMIENTO</t>
  </si>
  <si>
    <t>1 Kit cubre</t>
  </si>
  <si>
    <t>CONFORMACIÓN DEL KIT</t>
  </si>
  <si>
    <t>UNIDADES REQUERIDAS (Incluye 5% de desperdicios)</t>
  </si>
  <si>
    <t>PRECIO</t>
  </si>
  <si>
    <t xml:space="preserve">
</t>
  </si>
  <si>
    <r>
      <t>ÁREA (m</t>
    </r>
    <r>
      <rPr>
        <b/>
        <vertAlign val="superscript"/>
        <sz val="10"/>
        <color theme="1"/>
        <rFont val="Century Gothic"/>
        <family val="2"/>
      </rPr>
      <t>2</t>
    </r>
    <r>
      <rPr>
        <b/>
        <sz val="10"/>
        <color theme="1"/>
        <rFont val="Century Gothic"/>
        <family val="2"/>
      </rPr>
      <t>)</t>
    </r>
  </si>
  <si>
    <r>
      <t>m</t>
    </r>
    <r>
      <rPr>
        <vertAlign val="superscript"/>
        <sz val="10"/>
        <color theme="1"/>
        <rFont val="Century Gothic"/>
        <family val="2"/>
      </rPr>
      <t>2</t>
    </r>
  </si>
  <si>
    <t>CODIGO</t>
  </si>
  <si>
    <t>PRESENTACION</t>
  </si>
  <si>
    <t>COD</t>
  </si>
  <si>
    <t>EUCOFILLER MEDIO</t>
  </si>
  <si>
    <t>Bolsa x 30 Kg</t>
  </si>
  <si>
    <t>EUCOFILLER GRUESO</t>
  </si>
  <si>
    <t>IMPRIMACION (Opcional)</t>
  </si>
  <si>
    <t>1 Und cubre</t>
  </si>
  <si>
    <t>Eucofiller Medio</t>
  </si>
  <si>
    <t>Bolsa x 30 kg</t>
  </si>
  <si>
    <t>1 Bolsa Cubre</t>
  </si>
  <si>
    <t>RENDIMIENTOS</t>
  </si>
  <si>
    <t>Arena</t>
  </si>
  <si>
    <t>* Los rendimientos aquí consignados son consumos teóricos y aproximados de acuerdo a la experiencia, sin embargo estos pueden presentar variaciones de acuerdo a la porosidad de la superficie y/o otras condiciones de la aplicación</t>
  </si>
  <si>
    <t>* El presente simulador de calculo de cantidades de producto es una guía aproximada y no sustituye el criterio técnico en las aplicaciones o el uso de las hojas técnicas</t>
  </si>
  <si>
    <t>Bolsa x 50 Lb</t>
  </si>
  <si>
    <t>Flowfresh Colored Quartz Spring Glen</t>
  </si>
  <si>
    <t>Flowfresh Colored Quartz Bluebery Ice</t>
  </si>
  <si>
    <t>Flowfresh Colored Quartz Gray Mist</t>
  </si>
  <si>
    <t>Flowfresh Colored Quartz Kitched Red</t>
  </si>
  <si>
    <t>Flowfresh Colored Quartz Rococo</t>
  </si>
  <si>
    <t>Flowfresh Colored Quartz Shell</t>
  </si>
  <si>
    <t>Sello</t>
  </si>
  <si>
    <t>PIGMENTO</t>
  </si>
  <si>
    <t>Flowfresh FC (Sello Mate)</t>
  </si>
  <si>
    <t>120 Ft2/Unidad</t>
  </si>
  <si>
    <t>230 Ft2/Unidad</t>
  </si>
  <si>
    <t>120  Ft2/Unidad</t>
  </si>
  <si>
    <t>Unid x 3 Gal</t>
  </si>
  <si>
    <t>80 Ft2/Gal</t>
  </si>
  <si>
    <t>Flowfresh FC UV (Sello Mate UV)
Superficie Lisa</t>
  </si>
  <si>
    <t>Flowfresh FC UV (Sello Mate UV)
Superficie Rugosa</t>
  </si>
  <si>
    <t>Flowfresh SR Sealer (Brillante)
Superficie Rugosa</t>
  </si>
  <si>
    <t>Ultra Flakes Quick Silver</t>
  </si>
  <si>
    <t>Ultra Flakes Desert Tan</t>
  </si>
  <si>
    <t>Ultra Flakes Domino</t>
  </si>
  <si>
    <t>Ultra Flakes Green Bay</t>
  </si>
  <si>
    <t>Ultra Flakes Midnight</t>
  </si>
  <si>
    <t>Ultra Flakes Ice Blue</t>
  </si>
  <si>
    <t>Ultra Flakes Scarlet</t>
  </si>
  <si>
    <t>Ultra Flakes Cobblesto</t>
  </si>
  <si>
    <t>Rendimiento</t>
  </si>
  <si>
    <t>Codigo</t>
  </si>
  <si>
    <t>Flowseal PA</t>
  </si>
  <si>
    <t>PIGMENTOS ok</t>
  </si>
  <si>
    <t>PRIMER ok</t>
  </si>
  <si>
    <t>Antideslizante OK</t>
  </si>
  <si>
    <t>Kit x  23,8 Lb</t>
  </si>
  <si>
    <t>Filler</t>
  </si>
  <si>
    <t>Peso Filler</t>
  </si>
  <si>
    <t>Sistemas Trafico Pesado</t>
  </si>
  <si>
    <t>Kit x 1,5 Gal  -  
Unid x 17 Lb</t>
  </si>
  <si>
    <t>1 Kit ó 
Unidad Cubre</t>
  </si>
  <si>
    <t>Sistemas Trafico MEDIO</t>
  </si>
  <si>
    <t>Tabla Resistencias Quimicas</t>
  </si>
  <si>
    <t>Detalles Constructivos</t>
  </si>
  <si>
    <t>Observacion</t>
  </si>
  <si>
    <t>MONOPRIMER</t>
  </si>
  <si>
    <t>MONOPRIMER GC</t>
  </si>
  <si>
    <t>6613-2</t>
  </si>
  <si>
    <t>Monopur Mortar Filler</t>
  </si>
  <si>
    <t>PRECIO SISTEMA</t>
  </si>
  <si>
    <t>MONOPUR INDUSTRY MORTAR 6 mm</t>
  </si>
  <si>
    <t>MONOPUR INDUSTRY MORTAR 7 mm</t>
  </si>
  <si>
    <t>MONOPUR INDUSTRY MORTAR 8 mm</t>
  </si>
  <si>
    <t>MONOPUR INDUSTRY MORTAR 5 mm</t>
  </si>
  <si>
    <t>MONOPUR INDUSTRY MORTAR 9 mm</t>
  </si>
  <si>
    <t>Monopur Industry liquids</t>
  </si>
  <si>
    <t>https://www.toxement.com.co/media/4550/pisos-industriales_monopur-industry-mortar.pdf</t>
  </si>
  <si>
    <t>https://www.toxement.com.co/media/4033/mono-primer.pdf</t>
  </si>
  <si>
    <t>https://www.toxement.com.co/media/4547/pisos-industriales_-mono-primer-gc.pdf</t>
  </si>
  <si>
    <t>Hoja Tecnica Monoprimer</t>
  </si>
  <si>
    <t>Hoja Tecnica Monoprimer GC</t>
  </si>
  <si>
    <t>https://www.toxement.com.co/media/4594/tabla-de-resistencia-quimica-monopur.pdf</t>
  </si>
  <si>
    <t>Guia para la Instalacion de los Sistemas Monopur Industry</t>
  </si>
  <si>
    <t>https://www.toxement.com.co/media/4604/intalacio-n_de_sistemas_monopur_industry.pdf</t>
  </si>
  <si>
    <t>https://www.toxement.com.co/media/4606/web-monopur-2d-plus-3d.pdf</t>
  </si>
  <si>
    <t>Hojas Tecnica Monopur Industry Mortar</t>
  </si>
  <si>
    <t>Relacion Pigmento</t>
  </si>
  <si>
    <t>MONOPUR INDUSTRY SL 4 mm</t>
  </si>
  <si>
    <t>MONOPUR INDUSTRY SL 5 mm</t>
  </si>
  <si>
    <t>MONOPUR INDUSTRY SL 3 mm</t>
  </si>
  <si>
    <t>MONOPUR INDUSTRY SL 2 mm</t>
  </si>
  <si>
    <t>Monopur Filler SL 2mm</t>
  </si>
  <si>
    <t>Monopur Filler SL 4mm</t>
  </si>
  <si>
    <t>Peso Resina</t>
  </si>
  <si>
    <t>6614-2</t>
  </si>
  <si>
    <t>6615-2</t>
  </si>
  <si>
    <t>ACABADO ANTIDESLIZANTE</t>
  </si>
  <si>
    <t>SELLO (Mandatorio cuando se ha seleccionado un riego en la anterior seccion)</t>
  </si>
  <si>
    <t>KIT</t>
  </si>
  <si>
    <t xml:space="preserve">KIT </t>
  </si>
  <si>
    <t>MEDIDAS DE LAS MEDIAS CAÑAS</t>
  </si>
  <si>
    <t xml:space="preserve">Espesor Media Caña (mm) </t>
  </si>
  <si>
    <t>Alto en el muro
(cm)</t>
  </si>
  <si>
    <t xml:space="preserve">Ancho sobre el piso
 (cm) </t>
  </si>
  <si>
    <t>Radio de la Herramienta (cm)</t>
  </si>
  <si>
    <t>Metros Lineales 
(m)</t>
  </si>
  <si>
    <t>Área transversal
(cm2)</t>
  </si>
  <si>
    <t>Área superficial
(m2)</t>
  </si>
  <si>
    <t>PRODUCTO</t>
  </si>
  <si>
    <t>COD.</t>
  </si>
  <si>
    <t>CONFORMACIÓN
DEL KIT</t>
  </si>
  <si>
    <t>REQUERIMIENTOS</t>
  </si>
  <si>
    <t>KITS REQUERIDOS 
(Incluye 5% de desperdicios)</t>
  </si>
  <si>
    <t>Imprimante</t>
  </si>
  <si>
    <t>Monoprimer</t>
  </si>
  <si>
    <t>Kit x 3 Kg</t>
  </si>
  <si>
    <t>kg/m2</t>
  </si>
  <si>
    <t>Kits x 3 kg</t>
  </si>
  <si>
    <t>Eucofiller medio</t>
  </si>
  <si>
    <t>Mortero Uretano-Cemento</t>
  </si>
  <si>
    <t>Litros/kit</t>
  </si>
  <si>
    <t>Kits x 10 kg</t>
  </si>
  <si>
    <t>Bolsa x 8,78 Kg</t>
  </si>
  <si>
    <t>Sello para Media Cañas (Opcional)</t>
  </si>
  <si>
    <t xml:space="preserve">IMPORTANTE </t>
  </si>
  <si>
    <t>* La revisión de las Hojas Técnicas de los productos es imprescindible antes de realizar una aplicación</t>
  </si>
  <si>
    <t>MONOPUR INDUSTRY COVE SYSTEM</t>
  </si>
  <si>
    <t>m2/Kit</t>
  </si>
  <si>
    <t>MONOPUR INDUSTRY SL 6 mm</t>
  </si>
  <si>
    <t>Monopur Filler SL 5mm</t>
  </si>
  <si>
    <t>6616-2</t>
  </si>
  <si>
    <t>Flowseal UV</t>
  </si>
  <si>
    <t>Unidad x 2 Gal</t>
  </si>
  <si>
    <t xml:space="preserve">Para los sellos donde se requiere pigmentacion (le arrojara una cantidad &gt;0 de numero de pigmentos), asegurese de seleccionar el mismo color del mortero. </t>
  </si>
  <si>
    <t>Digite y seleccione las caracteristicas requeridas para su sistema en las celdas de este color</t>
  </si>
  <si>
    <t>Arena Imprimacion</t>
  </si>
  <si>
    <t>Eucofiller Vehicular</t>
  </si>
  <si>
    <t>EUCOFILLER VEHICULAR</t>
  </si>
  <si>
    <t xml:space="preserve">Nota: </t>
  </si>
  <si>
    <t>Uretano Cemento de acabado semirugoso y mate. Este sistema en 5 mm se obtiene utilizando el Kit Monopur Industry Mortar.</t>
  </si>
  <si>
    <t>Uretano Cemento de acabado semirugoso y mate. Este sistema en 6 mm se obtiene utilizando el Kit Monopur Industry Mortar.</t>
  </si>
  <si>
    <t>Uretano Cemento de acabado semirugoso y mate. Este sistema en 7 mm se obtiene utilizando el Kit Monopur Industry Mortar.</t>
  </si>
  <si>
    <t>Uretano Cemento de acabado semirugoso y mate. Este sistema en 8 mm se obtiene utilizando el Kit Monopur Industry Mortar.</t>
  </si>
  <si>
    <t>Uretano Cemento de acabado semirugoso y mate. Este sistema en 9mm se obtiene utilizando el Kit Monopur Industry Mortar.</t>
  </si>
  <si>
    <t>Uretano Cemento Autonivelante de acabado liso y mate. Este sistema en 3 mm se obtiene utilizando el Kit Monopur Industry SL 2 mm.</t>
  </si>
  <si>
    <t>Uretano Cemento Autonivelante de acabado liso y mate. Este sistema en 2 mm se obtiene utilizando el Kit Monopur Industry SL 2 mm.</t>
  </si>
  <si>
    <t>Uretano Cemento Autonivelante de acabado liso y mate. Este sistema en 4 mm se obtiene utilizando el Kit Monopur Industry SL 4 mm.</t>
  </si>
  <si>
    <t>Uretano Cemento Autonivelante de acabado liso y mate. Este sistema en 5 mm se obtiene utilizando el Kit Monopur Industry SL 5 mm.</t>
  </si>
  <si>
    <t>Imprimacion</t>
  </si>
  <si>
    <t>FLOWFRESH FC (Primer)</t>
  </si>
  <si>
    <t>Sistemas Trafico Medio o Bajo</t>
  </si>
  <si>
    <t>ITEM</t>
  </si>
  <si>
    <t>REQUERIMIENTO</t>
  </si>
  <si>
    <r>
      <t>m</t>
    </r>
    <r>
      <rPr>
        <vertAlign val="superscript"/>
        <sz val="10"/>
        <rFont val="Century Gothic"/>
        <family val="2"/>
      </rPr>
      <t>2</t>
    </r>
  </si>
  <si>
    <t>1 Bolsa</t>
  </si>
  <si>
    <t>1 kit</t>
  </si>
  <si>
    <t>Unidad  x 1,22 Kg</t>
  </si>
  <si>
    <t>Unidad x 1,22 Kg</t>
  </si>
  <si>
    <t xml:space="preserve">Monopur Fillers Cove </t>
  </si>
  <si>
    <t>Total con Sello y Dcto</t>
  </si>
  <si>
    <t>Mortero Uretano cemento para media caña</t>
  </si>
  <si>
    <t>1 Kit Rinde</t>
  </si>
  <si>
    <t>https://www.toxement.com.co/media/4551/pisos-industriales_-monopur-industry-sl-4-mm.pdf</t>
  </si>
  <si>
    <t>https://www.toxement.com.co/media/4552/pisos-industriales_monopur-industry-sl-2-mm.pdf</t>
  </si>
  <si>
    <t>https://www.toxement.com.co/media/4549/pisos-industriales_-monopur-industry-cove-system.pdf</t>
  </si>
  <si>
    <r>
      <t>Uretano Cemento Autonivelante de acabado liso y mate. Este sistema en 6 mm se obtiene utilizando el Kit Monopur Industry SL 5 mm.  **</t>
    </r>
    <r>
      <rPr>
        <b/>
        <sz val="10"/>
        <rFont val="Century Gothic"/>
        <family val="2"/>
      </rPr>
      <t>DEBE SELECCIONAR PRIMER**</t>
    </r>
  </si>
  <si>
    <t>Litros/Kit</t>
  </si>
  <si>
    <t>RENDIMIENTO (m2/kit)</t>
  </si>
  <si>
    <t>Rendimiento (m2/kit)</t>
  </si>
  <si>
    <t>REND (kg/m2)</t>
  </si>
  <si>
    <t>REND (m2/bolsa)</t>
  </si>
  <si>
    <t>Rendimiento kg/m2</t>
  </si>
  <si>
    <t>FLAKES*55lb</t>
  </si>
  <si>
    <t>Rendimiento (m2/bolsa)</t>
  </si>
  <si>
    <t>Unidad x 3 kg</t>
  </si>
  <si>
    <t>Unidad x 5 kg</t>
  </si>
  <si>
    <t>Kit x 32 Lb - 15,4 kg</t>
  </si>
  <si>
    <t>Bolsa x 25 kg</t>
  </si>
  <si>
    <t>Unidad x 6,5 kg 
(P/A + P/B)</t>
  </si>
  <si>
    <t>Monopur Industry SL 5 mm - Kit X 31,5 kg</t>
  </si>
  <si>
    <t>Unidad x 26,4 kg</t>
  </si>
  <si>
    <t>Unidad x 5,1 kg 
(P/A + P/B)</t>
  </si>
  <si>
    <t>Monopur Industry Mortar - Kit X 31,5 kg</t>
  </si>
  <si>
    <t>Bolsa x 24 kg</t>
  </si>
  <si>
    <t>Unidad x 10,2 kg 
(P/A + P/B)</t>
  </si>
  <si>
    <t>MONOPUR INDUSTRY SL 2 mm - Kit X 34,2 kg</t>
  </si>
  <si>
    <t>Unidad x 8,5 kg 
(P/A + P/B)</t>
  </si>
  <si>
    <t>Monopur Industry SL 4 mm - Kit X 33,5 kg</t>
  </si>
  <si>
    <t>Unidad x 25 kg</t>
  </si>
  <si>
    <t>EUCOFILLER PRIMER</t>
  </si>
  <si>
    <t xml:space="preserve">IMPRIMACION </t>
  </si>
  <si>
    <t>1 kg</t>
  </si>
  <si>
    <t xml:space="preserve">El consumo de primer dependera de la porosidad del sustrato.  Para sistemas autonivelantes, MONOPUR SL  se sugiere riego de filler en el primer con  Eucofiller Medio y para sistemas como MONOPUR INDUSTRY MORTAR se sugiere riego en el primer con Eucofiller vehicular.  
En los sistemas autonivelantes el uso del primer es MANDATORIO, seleccione el primer adecuado, acorde a las caracteristicas del sustrato. </t>
  </si>
  <si>
    <t>Si desea un acabado mas rugoso para este sistema, debe diligenciar las casillas de "Acabado Antideslizante" de la siguiente seccion y proteger el riego seleccionado con un sello mate o brillante según se requiera..  Si no desea acabado rugoso, asegurese que las siguientes secciones se encuentren en cero</t>
  </si>
  <si>
    <t>Si ha seleccionado algun tipo de riego o acabado antideslizante para dar una aspecto mas RUGOSO, es MANDATORIO que seleccione un sello en la siguiente seccion.</t>
  </si>
  <si>
    <t>Si ha seleccionado algun tipo de riego o acabado antideslizante para dar una aspecto mas RUGOSO, es MANDATORIO que seleccione un sello en la siguiente</t>
  </si>
  <si>
    <t>Flowcoat CR (Resistencia Quimica)</t>
  </si>
  <si>
    <t>Flowfresh Colored Quartz Gray - 50# bag</t>
  </si>
  <si>
    <t>Flowfresh Colored Quartz Red - 50# bag</t>
  </si>
  <si>
    <t>Flowfresh Colored Quartz Tan - 50# bag</t>
  </si>
  <si>
    <t>Flowfresh Colored Quartz Cream - 50# bag</t>
  </si>
  <si>
    <t>Flowfresh Colored Quartz Green - 50# bag</t>
  </si>
  <si>
    <t>Flowfresh Colored Quartz Blue - 50# bag</t>
  </si>
  <si>
    <t>MONOPUR PIGM GRIS P/D *0.45kg</t>
  </si>
  <si>
    <t>MONOPUR PIGM BUFF P/D *0.45kg</t>
  </si>
  <si>
    <t>MONOPUR PIGM ROJO P/D *0.45kg</t>
  </si>
  <si>
    <t>MONOPUR PIGM VERDE P/D *0.45kg</t>
  </si>
  <si>
    <t>MONOPUR PIGM CREMA P/D *0.45kg</t>
  </si>
  <si>
    <t>MONOPUR PIGM TAN P/D *0.45kg</t>
  </si>
  <si>
    <t>MONOPUR PIGM AZUL P/D *0.45kg</t>
  </si>
  <si>
    <t>MONOPUR PIGM SKY BLUE P/D*0,45 kg</t>
  </si>
  <si>
    <t>Unid x  0,45 kg</t>
  </si>
  <si>
    <t>Unidad x 0,45 Kg</t>
  </si>
  <si>
    <t>Unidades x 0,45 Kg</t>
  </si>
  <si>
    <t>Hojas Tecnica Monopur Industry SL</t>
  </si>
  <si>
    <t>Hojas Tecnica Monopur Cove System</t>
  </si>
  <si>
    <t>Seleccione el espesor de aplicación</t>
  </si>
  <si>
    <r>
      <rPr>
        <b/>
        <sz val="16"/>
        <rFont val="Century Gothic"/>
        <family val="2"/>
      </rPr>
      <t>NOTA 1</t>
    </r>
    <r>
      <rPr>
        <sz val="16"/>
        <rFont val="Century Gothic"/>
        <family val="2"/>
      </rPr>
      <t>: Ingrese los datos en las casillas de este color y seleccione el color de pigmento deseado</t>
    </r>
  </si>
  <si>
    <t>Unid x 0,45 Kg</t>
  </si>
  <si>
    <r>
      <t xml:space="preserve">FLOWFRESH PIG. </t>
    </r>
    <r>
      <rPr>
        <b/>
        <sz val="10"/>
        <color theme="1"/>
        <rFont val="Century Gothic"/>
        <family val="2"/>
      </rPr>
      <t>MIDGRAY-100</t>
    </r>
  </si>
  <si>
    <r>
      <t xml:space="preserve">FLOWFRESH PIG. </t>
    </r>
    <r>
      <rPr>
        <b/>
        <sz val="10"/>
        <color theme="1"/>
        <rFont val="Century Gothic"/>
        <family val="2"/>
      </rPr>
      <t>BLUE-100</t>
    </r>
  </si>
  <si>
    <r>
      <t xml:space="preserve">FLOWFRESH PIG. </t>
    </r>
    <r>
      <rPr>
        <b/>
        <sz val="10"/>
        <color theme="1"/>
        <rFont val="Century Gothic"/>
        <family val="2"/>
      </rPr>
      <t>SKYBLUE-100</t>
    </r>
  </si>
  <si>
    <r>
      <t xml:space="preserve">FLOWFRESH PIG. </t>
    </r>
    <r>
      <rPr>
        <b/>
        <sz val="10"/>
        <color theme="1"/>
        <rFont val="Century Gothic"/>
        <family val="2"/>
      </rPr>
      <t>CREAM-100</t>
    </r>
  </si>
  <si>
    <r>
      <t xml:space="preserve">FLOWFRESH PIG. </t>
    </r>
    <r>
      <rPr>
        <b/>
        <sz val="10"/>
        <color theme="1"/>
        <rFont val="Century Gothic"/>
        <family val="2"/>
      </rPr>
      <t>GREEN-100</t>
    </r>
  </si>
  <si>
    <r>
      <t xml:space="preserve">FLOWFRESH PIG. </t>
    </r>
    <r>
      <rPr>
        <b/>
        <sz val="10"/>
        <color theme="1"/>
        <rFont val="Century Gothic"/>
        <family val="2"/>
      </rPr>
      <t>RED-100</t>
    </r>
  </si>
  <si>
    <r>
      <t xml:space="preserve">FLOWFRESH PIG. </t>
    </r>
    <r>
      <rPr>
        <b/>
        <sz val="10"/>
        <color theme="1"/>
        <rFont val="Century Gothic"/>
        <family val="2"/>
      </rPr>
      <t>TAN-100</t>
    </r>
  </si>
  <si>
    <t>MONOPUR INDUSTRY COVE</t>
  </si>
  <si>
    <t>6612-2</t>
  </si>
  <si>
    <t>Unidad x 10 kg</t>
  </si>
  <si>
    <t>FLOWFRESH PIG. MIDGRAY-100</t>
  </si>
  <si>
    <t>VERSION (SEPTIEMBRE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</si>
</sst>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&quot;$&quot;\ #,##0"/>
    <numFmt numFmtId="166" formatCode="&quot;$&quot;\ #,##0.00"/>
    <numFmt numFmtId="167" formatCode="_(&quot;$&quot;\ * #,##0_);_(&quot;$&quot;\ * \(#,##0\);_(&quot;$&quot;\ * &quot;-&quot;??_);_(@_)"/>
    <numFmt numFmtId="168" formatCode="_-[$$-240A]\ * #,##0_-;\-[$$-240A]\ * #,##0_-;_-[$$-240A]\ * &quot;-&quot;??_-;_-@_-"/>
    <numFmt numFmtId="169" formatCode="0.0"/>
    <numFmt numFmtId="170" formatCode="0\ &quot;m2&quot;"/>
    <numFmt numFmtId="171" formatCode="_(* #,##0.00_);_(* \(#,##0.00\);_(* &quot;-&quot;??_);_(@_)"/>
    <numFmt numFmtId="172" formatCode="0.0\ &quot;Litros&quot;"/>
    <numFmt numFmtId="173" formatCode="0\ &quot;Litros&quot;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 tint="0.34998626667073579"/>
      <name val="Century Gothic"/>
      <family val="2"/>
    </font>
    <font>
      <sz val="14"/>
      <color theme="0"/>
      <name val="Century Gothic"/>
      <family val="2"/>
    </font>
    <font>
      <sz val="11"/>
      <color theme="1" tint="0.249977111117893"/>
      <name val="Century Gothic"/>
      <family val="2"/>
    </font>
    <font>
      <b/>
      <sz val="11"/>
      <color theme="1" tint="0.34998626667073579"/>
      <name val="Century Gothic"/>
      <family val="2"/>
    </font>
    <font>
      <b/>
      <sz val="11"/>
      <color theme="1" tint="0.249977111117893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b/>
      <vertAlign val="superscript"/>
      <sz val="10"/>
      <color theme="1"/>
      <name val="Century Gothic"/>
      <family val="2"/>
    </font>
    <font>
      <b/>
      <sz val="11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  <font>
      <b/>
      <sz val="12"/>
      <color theme="0"/>
      <name val="Century Gothic"/>
      <family val="2"/>
    </font>
    <font>
      <sz val="8"/>
      <name val="Calibri"/>
      <family val="2"/>
      <scheme val="minor"/>
    </font>
    <font>
      <sz val="10"/>
      <name val="Century Gothic"/>
      <family val="2"/>
    </font>
    <font>
      <sz val="9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2"/>
      <color theme="1"/>
      <name val="Century Gothic"/>
      <family val="2"/>
    </font>
    <font>
      <i/>
      <sz val="10"/>
      <color theme="1"/>
      <name val="Century Gothic"/>
      <family val="2"/>
    </font>
    <font>
      <b/>
      <sz val="10"/>
      <color theme="1" tint="0.249977111117893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11"/>
      <color rgb="FF00B050"/>
      <name val="Century Gothic"/>
      <family val="2"/>
    </font>
    <font>
      <b/>
      <sz val="9"/>
      <color theme="1" tint="0.249977111117893"/>
      <name val="Century Gothic"/>
      <family val="2"/>
    </font>
    <font>
      <b/>
      <sz val="8"/>
      <name val="Century Gothic"/>
      <family val="2"/>
    </font>
    <font>
      <b/>
      <sz val="13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i/>
      <sz val="10"/>
      <color theme="1" tint="0.249977111117893"/>
      <name val="Century Gothic"/>
      <family val="2"/>
    </font>
    <font>
      <b/>
      <sz val="12"/>
      <name val="Century Gothic"/>
      <family val="2"/>
    </font>
    <font>
      <sz val="11"/>
      <color theme="0" tint="-0.34998626667073579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6"/>
      <color theme="0"/>
      <name val="Century Gothic"/>
      <family val="2"/>
    </font>
    <font>
      <vertAlign val="superscript"/>
      <sz val="10"/>
      <name val="Century Gothic"/>
      <family val="2"/>
    </font>
    <font>
      <b/>
      <sz val="8"/>
      <color theme="1" tint="0.249977111117893"/>
      <name val="Century Gothic"/>
      <family val="2"/>
    </font>
    <font>
      <b/>
      <sz val="12"/>
      <color theme="1" tint="0.249977111117893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entury Gothic"/>
      <family val="2"/>
    </font>
    <font>
      <i/>
      <sz val="11"/>
      <color theme="1" tint="0.249977111117893"/>
      <name val="Century Gothic"/>
      <family val="2"/>
    </font>
    <font>
      <sz val="16"/>
      <name val="Century Gothic"/>
      <family val="2"/>
    </font>
    <font>
      <b/>
      <sz val="16"/>
      <name val="Century Gothic"/>
      <family val="2"/>
    </font>
    <font>
      <b/>
      <sz val="10"/>
      <color rgb="FF00CC00"/>
      <name val="Century Gothic"/>
      <family val="2"/>
    </font>
    <font>
      <b/>
      <sz val="11"/>
      <color rgb="FF00CC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BAB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CAAC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CECE8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71" fontId="1" fillId="0" borderId="0" applyFont="0" applyFill="0" applyBorder="0" applyAlignment="0" applyProtection="0"/>
  </cellStyleXfs>
  <cellXfs count="502">
    <xf numFmtId="0" fontId="0" fillId="0" borderId="0" xfId="0"/>
    <xf numFmtId="0" fontId="2" fillId="0" borderId="0" xfId="0" applyFont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/>
    </xf>
    <xf numFmtId="1" fontId="10" fillId="2" borderId="1" xfId="0" applyNumberFormat="1" applyFont="1" applyFill="1" applyBorder="1" applyAlignment="1" applyProtection="1">
      <alignment horizontal="center" vertical="center"/>
    </xf>
    <xf numFmtId="168" fontId="0" fillId="0" borderId="0" xfId="2" applyNumberFormat="1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1" fontId="10" fillId="0" borderId="1" xfId="0" applyNumberFormat="1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2" fillId="0" borderId="0" xfId="0" applyFont="1" applyAlignment="1" applyProtection="1"/>
    <xf numFmtId="0" fontId="10" fillId="0" borderId="1" xfId="0" applyFont="1" applyBorder="1" applyAlignment="1" applyProtection="1">
      <alignment vertical="center" wrapText="1"/>
    </xf>
    <xf numFmtId="0" fontId="2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Border="1" applyProtection="1"/>
    <xf numFmtId="0" fontId="9" fillId="2" borderId="4" xfId="0" applyFont="1" applyFill="1" applyBorder="1" applyAlignment="1" applyProtection="1">
      <alignment horizontal="center"/>
    </xf>
    <xf numFmtId="0" fontId="14" fillId="0" borderId="4" xfId="0" applyFont="1" applyBorder="1" applyProtection="1"/>
    <xf numFmtId="0" fontId="2" fillId="0" borderId="5" xfId="0" applyFont="1" applyBorder="1" applyProtection="1"/>
    <xf numFmtId="0" fontId="20" fillId="2" borderId="4" xfId="4" applyFill="1" applyBorder="1" applyProtection="1"/>
    <xf numFmtId="0" fontId="3" fillId="2" borderId="5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2" fillId="2" borderId="0" xfId="0" applyFont="1" applyFill="1" applyBorder="1" applyAlignment="1" applyProtection="1">
      <protection locked="0"/>
    </xf>
    <xf numFmtId="0" fontId="24" fillId="0" borderId="0" xfId="0" applyFont="1" applyFill="1" applyBorder="1" applyAlignment="1">
      <alignment vertical="top" wrapText="1"/>
    </xf>
    <xf numFmtId="168" fontId="24" fillId="0" borderId="0" xfId="0" applyNumberFormat="1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top" wrapText="1"/>
    </xf>
    <xf numFmtId="168" fontId="2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4" fillId="0" borderId="0" xfId="0" applyFont="1" applyBorder="1" applyAlignment="1">
      <alignment vertical="top" wrapText="1"/>
    </xf>
    <xf numFmtId="0" fontId="20" fillId="2" borderId="0" xfId="4" applyFill="1" applyBorder="1" applyProtection="1"/>
    <xf numFmtId="0" fontId="21" fillId="2" borderId="0" xfId="4" applyFont="1" applyFill="1" applyBorder="1" applyProtection="1"/>
    <xf numFmtId="0" fontId="7" fillId="2" borderId="0" xfId="0" applyFont="1" applyFill="1" applyBorder="1" applyAlignment="1" applyProtection="1">
      <alignment horizontal="center" vertical="center"/>
    </xf>
    <xf numFmtId="166" fontId="2" fillId="2" borderId="0" xfId="0" applyNumberFormat="1" applyFont="1" applyFill="1" applyBorder="1" applyAlignment="1" applyProtection="1">
      <protection locked="0"/>
    </xf>
    <xf numFmtId="0" fontId="2" fillId="6" borderId="3" xfId="0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top" wrapText="1"/>
    </xf>
    <xf numFmtId="0" fontId="24" fillId="0" borderId="19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</xf>
    <xf numFmtId="0" fontId="0" fillId="0" borderId="0" xfId="0" applyBorder="1" applyAlignment="1">
      <alignment horizontal="center"/>
    </xf>
    <xf numFmtId="0" fontId="24" fillId="0" borderId="16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 applyProtection="1">
      <alignment horizontal="center" vertical="center"/>
    </xf>
    <xf numFmtId="0" fontId="25" fillId="0" borderId="1" xfId="0" applyFont="1" applyBorder="1" applyAlignment="1">
      <alignment horizontal="left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protection locked="0"/>
    </xf>
    <xf numFmtId="0" fontId="10" fillId="0" borderId="16" xfId="0" applyFont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top" wrapText="1"/>
    </xf>
    <xf numFmtId="0" fontId="12" fillId="2" borderId="4" xfId="0" applyFont="1" applyFill="1" applyBorder="1" applyProtection="1"/>
    <xf numFmtId="0" fontId="12" fillId="2" borderId="0" xfId="0" applyFont="1" applyFill="1" applyBorder="1" applyProtection="1"/>
    <xf numFmtId="0" fontId="7" fillId="2" borderId="7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8" fillId="2" borderId="6" xfId="0" applyFont="1" applyFill="1" applyBorder="1" applyAlignment="1" applyProtection="1">
      <alignment horizontal="left"/>
    </xf>
    <xf numFmtId="0" fontId="0" fillId="5" borderId="13" xfId="0" applyFill="1" applyBorder="1"/>
    <xf numFmtId="1" fontId="18" fillId="0" borderId="14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42" fontId="0" fillId="0" borderId="0" xfId="3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168" fontId="0" fillId="0" borderId="0" xfId="0" applyNumberFormat="1" applyBorder="1" applyAlignment="1">
      <alignment horizontal="center"/>
    </xf>
    <xf numFmtId="0" fontId="24" fillId="0" borderId="16" xfId="0" applyFont="1" applyBorder="1" applyAlignment="1">
      <alignment vertical="top" wrapText="1"/>
    </xf>
    <xf numFmtId="0" fontId="24" fillId="0" borderId="18" xfId="0" applyFont="1" applyBorder="1" applyAlignment="1">
      <alignment vertical="top" wrapText="1"/>
    </xf>
    <xf numFmtId="0" fontId="24" fillId="0" borderId="0" xfId="0" applyFont="1" applyBorder="1" applyAlignment="1">
      <alignment horizontal="left" vertical="top" wrapText="1"/>
    </xf>
    <xf numFmtId="168" fontId="24" fillId="0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left"/>
    </xf>
    <xf numFmtId="0" fontId="0" fillId="0" borderId="14" xfId="0" applyBorder="1"/>
    <xf numFmtId="0" fontId="24" fillId="0" borderId="16" xfId="0" applyFont="1" applyBorder="1" applyAlignment="1">
      <alignment horizontal="left" vertical="top" wrapText="1"/>
    </xf>
    <xf numFmtId="0" fontId="24" fillId="0" borderId="18" xfId="0" applyFont="1" applyBorder="1" applyAlignment="1">
      <alignment horizontal="left" vertical="top" wrapText="1"/>
    </xf>
    <xf numFmtId="168" fontId="24" fillId="0" borderId="19" xfId="0" applyNumberFormat="1" applyFont="1" applyFill="1" applyBorder="1" applyAlignment="1">
      <alignment horizontal="center" vertical="top" wrapText="1"/>
    </xf>
    <xf numFmtId="0" fontId="25" fillId="0" borderId="1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top" wrapText="1"/>
    </xf>
    <xf numFmtId="0" fontId="2" fillId="2" borderId="3" xfId="0" applyFont="1" applyFill="1" applyBorder="1" applyProtection="1"/>
    <xf numFmtId="0" fontId="2" fillId="2" borderId="3" xfId="0" applyFont="1" applyFill="1" applyBorder="1" applyAlignment="1" applyProtection="1"/>
    <xf numFmtId="0" fontId="2" fillId="2" borderId="7" xfId="0" applyFont="1" applyFill="1" applyBorder="1" applyProtection="1"/>
    <xf numFmtId="0" fontId="6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horizontal="left"/>
    </xf>
    <xf numFmtId="0" fontId="20" fillId="2" borderId="0" xfId="4" applyFill="1" applyBorder="1" applyAlignment="1" applyProtection="1">
      <alignment horizontal="left"/>
    </xf>
    <xf numFmtId="0" fontId="14" fillId="2" borderId="0" xfId="0" applyFont="1" applyFill="1" applyBorder="1" applyAlignment="1" applyProtection="1"/>
    <xf numFmtId="0" fontId="20" fillId="2" borderId="0" xfId="4" applyFill="1" applyBorder="1" applyAlignment="1" applyProtection="1"/>
    <xf numFmtId="0" fontId="24" fillId="0" borderId="17" xfId="0" applyNumberFormat="1" applyFont="1" applyFill="1" applyBorder="1" applyAlignment="1">
      <alignment horizontal="left" vertical="top" wrapText="1"/>
    </xf>
    <xf numFmtId="0" fontId="0" fillId="0" borderId="17" xfId="0" applyBorder="1"/>
    <xf numFmtId="0" fontId="0" fillId="0" borderId="20" xfId="0" applyBorder="1"/>
    <xf numFmtId="0" fontId="24" fillId="0" borderId="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2" fillId="2" borderId="6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0" xfId="0" applyFont="1"/>
    <xf numFmtId="0" fontId="2" fillId="2" borderId="4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11" borderId="18" xfId="0" applyFont="1" applyFill="1" applyBorder="1" applyAlignment="1" applyProtection="1">
      <alignment horizontal="center" vertical="center"/>
      <protection locked="0"/>
    </xf>
    <xf numFmtId="0" fontId="9" fillId="11" borderId="19" xfId="0" applyFont="1" applyFill="1" applyBorder="1" applyAlignment="1" applyProtection="1">
      <alignment horizontal="center" vertical="center"/>
      <protection locked="0"/>
    </xf>
    <xf numFmtId="0" fontId="9" fillId="11" borderId="20" xfId="0" applyFont="1" applyFill="1" applyBorder="1" applyAlignment="1" applyProtection="1">
      <alignment horizontal="center" vertical="center"/>
      <protection locked="0"/>
    </xf>
    <xf numFmtId="2" fontId="14" fillId="2" borderId="26" xfId="0" applyNumberFormat="1" applyFont="1" applyFill="1" applyBorder="1" applyAlignment="1">
      <alignment horizontal="center" vertical="center"/>
    </xf>
    <xf numFmtId="2" fontId="9" fillId="2" borderId="20" xfId="0" applyNumberFormat="1" applyFont="1" applyFill="1" applyBorder="1" applyAlignment="1">
      <alignment horizontal="center" vertical="center"/>
    </xf>
    <xf numFmtId="0" fontId="20" fillId="0" borderId="0" xfId="4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Protection="1">
      <protection locked="0"/>
    </xf>
    <xf numFmtId="0" fontId="26" fillId="2" borderId="0" xfId="0" applyFont="1" applyFill="1" applyBorder="1" applyAlignment="1">
      <alignment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5" fillId="6" borderId="2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6" fillId="0" borderId="1" xfId="0" applyFont="1" applyBorder="1" applyAlignment="1">
      <alignment horizontal="left" vertical="center" wrapText="1"/>
    </xf>
    <xf numFmtId="0" fontId="32" fillId="4" borderId="22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167" fontId="2" fillId="0" borderId="0" xfId="0" applyNumberFormat="1" applyFont="1"/>
    <xf numFmtId="0" fontId="14" fillId="2" borderId="0" xfId="0" applyFont="1" applyFill="1" applyBorder="1" applyAlignment="1"/>
    <xf numFmtId="0" fontId="36" fillId="0" borderId="0" xfId="0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/>
    </xf>
    <xf numFmtId="0" fontId="34" fillId="2" borderId="4" xfId="0" applyFont="1" applyFill="1" applyBorder="1" applyAlignment="1">
      <alignment vertical="top" wrapText="1"/>
    </xf>
    <xf numFmtId="0" fontId="34" fillId="2" borderId="0" xfId="0" applyFont="1" applyFill="1" applyBorder="1" applyAlignment="1">
      <alignment vertical="top" wrapText="1"/>
    </xf>
    <xf numFmtId="0" fontId="24" fillId="12" borderId="1" xfId="0" applyFont="1" applyFill="1" applyBorder="1" applyAlignment="1">
      <alignment horizontal="center" vertical="top" wrapText="1"/>
    </xf>
    <xf numFmtId="0" fontId="24" fillId="12" borderId="19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4" fillId="12" borderId="17" xfId="0" applyFont="1" applyFill="1" applyBorder="1" applyAlignment="1">
      <alignment horizontal="center" vertical="top" wrapText="1"/>
    </xf>
    <xf numFmtId="0" fontId="24" fillId="12" borderId="2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0" borderId="13" xfId="0" applyFont="1" applyBorder="1" applyProtection="1"/>
    <xf numFmtId="0" fontId="4" fillId="2" borderId="14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Protection="1"/>
    <xf numFmtId="0" fontId="2" fillId="2" borderId="2" xfId="0" applyFont="1" applyFill="1" applyBorder="1" applyProtection="1"/>
    <xf numFmtId="0" fontId="2" fillId="2" borderId="9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right" vertical="center" wrapText="1"/>
    </xf>
    <xf numFmtId="0" fontId="2" fillId="0" borderId="6" xfId="0" applyFont="1" applyBorder="1" applyProtection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2" fillId="2" borderId="4" xfId="0" applyFont="1" applyFill="1" applyBorder="1" applyAlignment="1">
      <alignment vertical="center"/>
    </xf>
    <xf numFmtId="0" fontId="26" fillId="2" borderId="0" xfId="0" applyFont="1" applyFill="1" applyBorder="1"/>
    <xf numFmtId="0" fontId="34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9" xfId="0" applyFont="1" applyBorder="1"/>
    <xf numFmtId="0" fontId="10" fillId="0" borderId="16" xfId="0" applyFont="1" applyBorder="1" applyAlignment="1" applyProtection="1">
      <alignment horizontal="center" vertical="center" wrapText="1"/>
    </xf>
    <xf numFmtId="0" fontId="24" fillId="6" borderId="16" xfId="0" applyFont="1" applyFill="1" applyBorder="1" applyAlignment="1">
      <alignment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22" xfId="0" applyFont="1" applyFill="1" applyBorder="1" applyAlignment="1">
      <alignment horizontal="center" vertical="top" wrapText="1"/>
    </xf>
    <xf numFmtId="168" fontId="24" fillId="0" borderId="22" xfId="0" applyNumberFormat="1" applyFont="1" applyFill="1" applyBorder="1" applyAlignment="1">
      <alignment horizontal="center" vertical="top" wrapText="1"/>
    </xf>
    <xf numFmtId="0" fontId="24" fillId="12" borderId="22" xfId="0" applyFont="1" applyFill="1" applyBorder="1" applyAlignment="1">
      <alignment horizontal="center" vertical="top" wrapText="1"/>
    </xf>
    <xf numFmtId="0" fontId="25" fillId="0" borderId="22" xfId="0" applyFont="1" applyBorder="1" applyAlignment="1">
      <alignment horizontal="left"/>
    </xf>
    <xf numFmtId="0" fontId="40" fillId="2" borderId="0" xfId="0" applyFont="1" applyFill="1" applyBorder="1" applyAlignment="1" applyProtection="1">
      <alignment horizontal="left" vertical="top" wrapText="1"/>
    </xf>
    <xf numFmtId="0" fontId="11" fillId="13" borderId="25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vertical="center" wrapText="1"/>
    </xf>
    <xf numFmtId="0" fontId="38" fillId="2" borderId="15" xfId="0" applyFont="1" applyFill="1" applyBorder="1" applyAlignment="1" applyProtection="1">
      <alignment vertical="center" wrapText="1"/>
    </xf>
    <xf numFmtId="0" fontId="42" fillId="0" borderId="0" xfId="0" applyFont="1" applyProtection="1"/>
    <xf numFmtId="0" fontId="0" fillId="0" borderId="0" xfId="0" applyBorder="1" applyAlignment="1">
      <alignment horizontal="center"/>
    </xf>
    <xf numFmtId="0" fontId="24" fillId="2" borderId="16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169" fontId="10" fillId="0" borderId="1" xfId="0" applyNumberFormat="1" applyFont="1" applyBorder="1" applyAlignment="1" applyProtection="1">
      <alignment horizontal="center" vertical="center"/>
    </xf>
    <xf numFmtId="0" fontId="24" fillId="0" borderId="15" xfId="0" applyFont="1" applyFill="1" applyBorder="1" applyAlignment="1">
      <alignment horizontal="center" vertical="top" wrapText="1"/>
    </xf>
    <xf numFmtId="0" fontId="24" fillId="0" borderId="18" xfId="0" applyFont="1" applyFill="1" applyBorder="1" applyAlignment="1">
      <alignment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12" borderId="19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12" borderId="1" xfId="0" applyNumberFormat="1" applyFont="1" applyFill="1" applyBorder="1" applyAlignment="1">
      <alignment horizontal="center" vertical="top" wrapText="1"/>
    </xf>
    <xf numFmtId="0" fontId="4" fillId="10" borderId="13" xfId="0" applyFont="1" applyFill="1" applyBorder="1" applyAlignment="1">
      <alignment horizontal="center" vertical="top" wrapText="1"/>
    </xf>
    <xf numFmtId="0" fontId="24" fillId="12" borderId="19" xfId="0" applyNumberFormat="1" applyFont="1" applyFill="1" applyBorder="1" applyAlignment="1">
      <alignment horizontal="center" vertical="top" wrapText="1"/>
    </xf>
    <xf numFmtId="0" fontId="4" fillId="9" borderId="1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vertical="center" wrapText="1"/>
      <protection locked="0"/>
    </xf>
    <xf numFmtId="169" fontId="27" fillId="1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47" fillId="6" borderId="13" xfId="0" applyFont="1" applyFill="1" applyBorder="1" applyAlignment="1">
      <alignment horizontal="center" vertical="center" wrapText="1"/>
    </xf>
    <xf numFmtId="0" fontId="47" fillId="6" borderId="14" xfId="0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/>
    </xf>
    <xf numFmtId="0" fontId="47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31" fillId="7" borderId="10" xfId="0" applyFont="1" applyFill="1" applyBorder="1" applyAlignment="1">
      <alignment vertical="center"/>
    </xf>
    <xf numFmtId="0" fontId="31" fillId="7" borderId="11" xfId="0" applyFont="1" applyFill="1" applyBorder="1" applyAlignment="1">
      <alignment vertical="center"/>
    </xf>
    <xf numFmtId="0" fontId="31" fillId="7" borderId="12" xfId="0" applyFont="1" applyFill="1" applyBorder="1" applyAlignment="1">
      <alignment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170" fontId="4" fillId="2" borderId="2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47" fillId="6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8" fillId="2" borderId="14" xfId="0" applyFont="1" applyFill="1" applyBorder="1" applyAlignment="1" applyProtection="1">
      <alignment vertical="center" wrapText="1"/>
    </xf>
    <xf numFmtId="0" fontId="40" fillId="2" borderId="0" xfId="0" applyFont="1" applyFill="1" applyBorder="1" applyAlignment="1" applyProtection="1">
      <alignment horizontal="center" vertical="top" wrapText="1"/>
    </xf>
    <xf numFmtId="0" fontId="20" fillId="2" borderId="0" xfId="4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0" fillId="2" borderId="0" xfId="4" applyFill="1" applyBorder="1" applyAlignment="1" applyProtection="1">
      <alignment horizontal="right"/>
    </xf>
    <xf numFmtId="0" fontId="14" fillId="11" borderId="1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/>
    <xf numFmtId="1" fontId="24" fillId="0" borderId="1" xfId="0" applyNumberFormat="1" applyFont="1" applyBorder="1" applyAlignment="1" applyProtection="1">
      <alignment horizontal="center" vertical="center"/>
    </xf>
    <xf numFmtId="2" fontId="48" fillId="2" borderId="1" xfId="0" applyNumberFormat="1" applyFont="1" applyFill="1" applyBorder="1" applyAlignment="1" applyProtection="1">
      <alignment horizontal="center" vertical="center"/>
      <protection locked="0"/>
    </xf>
    <xf numFmtId="169" fontId="48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7" fontId="14" fillId="2" borderId="5" xfId="0" applyNumberFormat="1" applyFont="1" applyFill="1" applyBorder="1" applyAlignment="1">
      <alignment horizontal="center"/>
    </xf>
    <xf numFmtId="0" fontId="34" fillId="2" borderId="8" xfId="0" applyFont="1" applyFill="1" applyBorder="1" applyAlignment="1">
      <alignment vertical="top" wrapText="1"/>
    </xf>
    <xf numFmtId="0" fontId="34" fillId="2" borderId="2" xfId="0" applyFont="1" applyFill="1" applyBorder="1" applyAlignment="1">
      <alignment vertical="top" wrapText="1"/>
    </xf>
    <xf numFmtId="0" fontId="40" fillId="2" borderId="4" xfId="0" applyFont="1" applyFill="1" applyBorder="1" applyAlignment="1" applyProtection="1">
      <alignment horizontal="left" vertical="top" wrapText="1"/>
    </xf>
    <xf numFmtId="0" fontId="20" fillId="0" borderId="4" xfId="4" applyBorder="1" applyProtection="1"/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vertical="center"/>
      <protection locked="0"/>
    </xf>
    <xf numFmtId="15" fontId="5" fillId="2" borderId="5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vertical="center"/>
    </xf>
    <xf numFmtId="0" fontId="26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32" fillId="11" borderId="1" xfId="0" applyFont="1" applyFill="1" applyBorder="1" applyAlignment="1" applyProtection="1">
      <alignment horizontal="left" vertical="center"/>
      <protection locked="0"/>
    </xf>
    <xf numFmtId="0" fontId="32" fillId="11" borderId="1" xfId="0" applyFont="1" applyFill="1" applyBorder="1" applyAlignment="1" applyProtection="1">
      <alignment horizontal="left" vertical="center" wrapText="1"/>
      <protection locked="0"/>
    </xf>
    <xf numFmtId="0" fontId="32" fillId="11" borderId="1" xfId="0" applyFont="1" applyFill="1" applyBorder="1" applyAlignment="1">
      <alignment horizontal="left" vertical="top" wrapText="1"/>
    </xf>
    <xf numFmtId="0" fontId="32" fillId="11" borderId="1" xfId="0" applyFont="1" applyFill="1" applyBorder="1" applyAlignment="1">
      <alignment horizontal="left" vertical="center" wrapText="1"/>
    </xf>
    <xf numFmtId="0" fontId="32" fillId="11" borderId="1" xfId="0" applyFont="1" applyFill="1" applyBorder="1" applyAlignment="1" applyProtection="1">
      <alignment horizontal="left" vertical="top" wrapText="1"/>
      <protection locked="0"/>
    </xf>
    <xf numFmtId="0" fontId="4" fillId="8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7" fillId="12" borderId="1" xfId="0" applyFont="1" applyFill="1" applyBorder="1" applyAlignment="1">
      <alignment horizontal="center"/>
    </xf>
    <xf numFmtId="167" fontId="55" fillId="2" borderId="1" xfId="1" applyNumberFormat="1" applyFont="1" applyFill="1" applyBorder="1" applyAlignment="1">
      <alignment vertical="center"/>
    </xf>
    <xf numFmtId="168" fontId="56" fillId="0" borderId="1" xfId="0" applyNumberFormat="1" applyFont="1" applyBorder="1" applyAlignment="1">
      <alignment horizontal="center"/>
    </xf>
    <xf numFmtId="167" fontId="55" fillId="0" borderId="1" xfId="1" applyNumberFormat="1" applyFont="1" applyFill="1" applyBorder="1" applyAlignment="1">
      <alignment horizontal="center" vertical="top" wrapText="1"/>
    </xf>
    <xf numFmtId="168" fontId="55" fillId="0" borderId="1" xfId="0" applyNumberFormat="1" applyFont="1" applyFill="1" applyBorder="1" applyAlignment="1">
      <alignment horizontal="center" vertical="top" wrapText="1"/>
    </xf>
    <xf numFmtId="168" fontId="55" fillId="0" borderId="19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</xf>
    <xf numFmtId="0" fontId="11" fillId="13" borderId="35" xfId="0" applyFont="1" applyFill="1" applyBorder="1" applyAlignment="1" applyProtection="1">
      <alignment horizontal="center" vertical="center" wrapText="1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1" fontId="10" fillId="2" borderId="17" xfId="0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15" fontId="5" fillId="2" borderId="0" xfId="0" applyNumberFormat="1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right" vertical="center" wrapText="1"/>
    </xf>
    <xf numFmtId="0" fontId="2" fillId="0" borderId="25" xfId="0" applyFont="1" applyBorder="1" applyProtection="1"/>
    <xf numFmtId="0" fontId="10" fillId="0" borderId="34" xfId="0" applyFont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6" fillId="3" borderId="14" xfId="0" applyFont="1" applyFill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horizontal="center" vertical="center"/>
    </xf>
    <xf numFmtId="169" fontId="10" fillId="0" borderId="14" xfId="0" applyNumberFormat="1" applyFont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/>
    </xf>
    <xf numFmtId="0" fontId="2" fillId="0" borderId="51" xfId="0" applyFont="1" applyBorder="1" applyProtection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37" fillId="2" borderId="27" xfId="0" applyFont="1" applyFill="1" applyBorder="1" applyAlignment="1">
      <alignment vertical="center" wrapText="1"/>
    </xf>
    <xf numFmtId="0" fontId="37" fillId="2" borderId="30" xfId="0" applyFont="1" applyFill="1" applyBorder="1" applyAlignment="1">
      <alignment vertical="center" wrapText="1"/>
    </xf>
    <xf numFmtId="0" fontId="37" fillId="2" borderId="46" xfId="0" applyFont="1" applyFill="1" applyBorder="1" applyAlignment="1">
      <alignment vertical="center" wrapText="1"/>
    </xf>
    <xf numFmtId="0" fontId="53" fillId="11" borderId="27" xfId="0" applyFont="1" applyFill="1" applyBorder="1" applyAlignment="1">
      <alignment vertical="center"/>
    </xf>
    <xf numFmtId="0" fontId="53" fillId="11" borderId="30" xfId="0" applyFont="1" applyFill="1" applyBorder="1" applyAlignment="1">
      <alignment vertical="center"/>
    </xf>
    <xf numFmtId="0" fontId="53" fillId="11" borderId="46" xfId="0" applyFont="1" applyFill="1" applyBorder="1" applyAlignment="1">
      <alignment vertical="center"/>
    </xf>
    <xf numFmtId="0" fontId="37" fillId="0" borderId="27" xfId="0" applyFont="1" applyBorder="1" applyAlignment="1">
      <alignment vertical="top" wrapText="1"/>
    </xf>
    <xf numFmtId="0" fontId="37" fillId="0" borderId="30" xfId="0" applyFont="1" applyBorder="1" applyAlignment="1">
      <alignment vertical="top" wrapText="1"/>
    </xf>
    <xf numFmtId="0" fontId="37" fillId="0" borderId="46" xfId="0" applyFont="1" applyBorder="1" applyAlignment="1">
      <alignment vertical="top" wrapText="1"/>
    </xf>
    <xf numFmtId="0" fontId="26" fillId="0" borderId="17" xfId="0" applyFont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1" fontId="33" fillId="2" borderId="17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1" fontId="32" fillId="2" borderId="19" xfId="0" applyNumberFormat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1" fontId="24" fillId="0" borderId="17" xfId="0" applyNumberFormat="1" applyFont="1" applyBorder="1" applyAlignment="1">
      <alignment horizontal="center"/>
    </xf>
    <xf numFmtId="0" fontId="24" fillId="2" borderId="4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1" fontId="24" fillId="2" borderId="17" xfId="0" applyNumberFormat="1" applyFont="1" applyFill="1" applyBorder="1" applyAlignment="1">
      <alignment horizontal="center"/>
    </xf>
    <xf numFmtId="0" fontId="26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11" fillId="2" borderId="2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horizontal="left"/>
      <protection locked="0"/>
    </xf>
    <xf numFmtId="0" fontId="20" fillId="2" borderId="0" xfId="4" applyFill="1" applyBorder="1" applyAlignment="1" applyProtection="1">
      <alignment horizontal="left"/>
      <protection locked="0"/>
    </xf>
    <xf numFmtId="0" fontId="24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167" fontId="26" fillId="2" borderId="20" xfId="0" applyNumberFormat="1" applyFont="1" applyFill="1" applyBorder="1" applyAlignment="1">
      <alignment horizontal="center"/>
    </xf>
    <xf numFmtId="0" fontId="24" fillId="0" borderId="16" xfId="0" applyFont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/>
    </xf>
    <xf numFmtId="1" fontId="26" fillId="2" borderId="19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2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73" fontId="4" fillId="2" borderId="2" xfId="0" applyNumberFormat="1" applyFont="1" applyFill="1" applyBorder="1" applyAlignment="1">
      <alignment horizontal="center" vertical="center" wrapText="1"/>
    </xf>
    <xf numFmtId="1" fontId="24" fillId="2" borderId="2" xfId="0" applyNumberFormat="1" applyFont="1" applyFill="1" applyBorder="1" applyAlignment="1">
      <alignment horizontal="center"/>
    </xf>
    <xf numFmtId="0" fontId="51" fillId="2" borderId="29" xfId="0" applyFont="1" applyFill="1" applyBorder="1" applyAlignment="1" applyProtection="1">
      <alignment horizontal="left" vertical="top" wrapText="1"/>
      <protection locked="0"/>
    </xf>
    <xf numFmtId="0" fontId="51" fillId="2" borderId="38" xfId="0" applyFont="1" applyFill="1" applyBorder="1" applyAlignment="1" applyProtection="1">
      <alignment horizontal="left" vertical="top" wrapText="1"/>
      <protection locked="0"/>
    </xf>
    <xf numFmtId="0" fontId="51" fillId="2" borderId="41" xfId="0" applyFont="1" applyFill="1" applyBorder="1" applyAlignment="1" applyProtection="1">
      <alignment horizontal="left" vertical="top" wrapText="1"/>
      <protection locked="0"/>
    </xf>
    <xf numFmtId="0" fontId="38" fillId="2" borderId="32" xfId="0" applyFont="1" applyFill="1" applyBorder="1" applyAlignment="1" applyProtection="1">
      <alignment horizontal="left" vertical="center" wrapText="1"/>
    </xf>
    <xf numFmtId="0" fontId="38" fillId="2" borderId="30" xfId="0" applyFont="1" applyFill="1" applyBorder="1" applyAlignment="1" applyProtection="1">
      <alignment horizontal="left" vertical="center" wrapText="1"/>
    </xf>
    <xf numFmtId="0" fontId="38" fillId="2" borderId="46" xfId="0" applyFont="1" applyFill="1" applyBorder="1" applyAlignment="1" applyProtection="1">
      <alignment horizontal="left" vertical="center" wrapText="1"/>
    </xf>
    <xf numFmtId="0" fontId="52" fillId="2" borderId="29" xfId="0" applyFont="1" applyFill="1" applyBorder="1" applyAlignment="1" applyProtection="1">
      <alignment horizontal="left" vertical="top" wrapText="1"/>
    </xf>
    <xf numFmtId="0" fontId="52" fillId="2" borderId="38" xfId="0" applyFont="1" applyFill="1" applyBorder="1" applyAlignment="1" applyProtection="1">
      <alignment horizontal="left" vertical="top" wrapText="1"/>
    </xf>
    <xf numFmtId="0" fontId="52" fillId="2" borderId="41" xfId="0" applyFont="1" applyFill="1" applyBorder="1" applyAlignment="1" applyProtection="1">
      <alignment horizontal="left" vertical="top" wrapText="1"/>
    </xf>
    <xf numFmtId="0" fontId="43" fillId="2" borderId="34" xfId="0" applyFont="1" applyFill="1" applyBorder="1" applyAlignment="1" applyProtection="1">
      <alignment horizontal="center" vertical="center" wrapText="1"/>
    </xf>
    <xf numFmtId="0" fontId="43" fillId="2" borderId="42" xfId="0" applyFont="1" applyFill="1" applyBorder="1" applyAlignment="1" applyProtection="1">
      <alignment horizontal="center" vertical="center" wrapText="1"/>
    </xf>
    <xf numFmtId="0" fontId="43" fillId="2" borderId="16" xfId="0" applyFont="1" applyFill="1" applyBorder="1" applyAlignment="1" applyProtection="1">
      <alignment horizontal="center" vertical="center" wrapText="1"/>
    </xf>
    <xf numFmtId="0" fontId="43" fillId="2" borderId="17" xfId="0" applyFont="1" applyFill="1" applyBorder="1" applyAlignment="1" applyProtection="1">
      <alignment horizontal="center" vertical="center" wrapText="1"/>
    </xf>
    <xf numFmtId="0" fontId="43" fillId="2" borderId="18" xfId="0" applyFont="1" applyFill="1" applyBorder="1" applyAlignment="1" applyProtection="1">
      <alignment horizontal="center" vertical="center" wrapText="1"/>
    </xf>
    <xf numFmtId="0" fontId="43" fillId="2" borderId="20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44" fillId="13" borderId="39" xfId="0" applyFont="1" applyFill="1" applyBorder="1" applyAlignment="1" applyProtection="1">
      <alignment horizontal="center" vertical="center" wrapText="1"/>
    </xf>
    <xf numFmtId="0" fontId="44" fillId="13" borderId="40" xfId="0" applyFont="1" applyFill="1" applyBorder="1" applyAlignment="1" applyProtection="1">
      <alignment horizontal="center" vertical="center" wrapText="1"/>
    </xf>
    <xf numFmtId="0" fontId="24" fillId="13" borderId="4" xfId="0" applyFont="1" applyFill="1" applyBorder="1" applyAlignment="1" applyProtection="1">
      <alignment horizontal="center" vertical="center" wrapText="1"/>
    </xf>
    <xf numFmtId="0" fontId="24" fillId="13" borderId="5" xfId="0" applyFont="1" applyFill="1" applyBorder="1" applyAlignment="1" applyProtection="1">
      <alignment horizontal="center" vertical="center" wrapText="1"/>
    </xf>
    <xf numFmtId="0" fontId="39" fillId="3" borderId="10" xfId="0" applyFont="1" applyFill="1" applyBorder="1" applyAlignment="1" applyProtection="1">
      <alignment horizontal="center" vertical="center" wrapText="1"/>
      <protection locked="0"/>
    </xf>
    <xf numFmtId="0" fontId="39" fillId="3" borderId="1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</xf>
    <xf numFmtId="0" fontId="11" fillId="13" borderId="35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1" fillId="13" borderId="36" xfId="0" applyFont="1" applyFill="1" applyBorder="1" applyAlignment="1" applyProtection="1">
      <alignment horizontal="center" vertical="center" wrapText="1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29" fillId="2" borderId="39" xfId="0" applyFont="1" applyFill="1" applyBorder="1" applyAlignment="1" applyProtection="1">
      <alignment horizontal="left" vertical="top" wrapText="1"/>
      <protection locked="0"/>
    </xf>
    <xf numFmtId="0" fontId="29" fillId="2" borderId="23" xfId="0" applyFont="1" applyFill="1" applyBorder="1" applyAlignment="1" applyProtection="1">
      <alignment horizontal="left" vertical="top" wrapText="1"/>
      <protection locked="0"/>
    </xf>
    <xf numFmtId="0" fontId="29" fillId="2" borderId="40" xfId="0" applyFont="1" applyFill="1" applyBorder="1" applyAlignment="1" applyProtection="1">
      <alignment horizontal="left" vertical="top" wrapText="1"/>
      <protection locked="0"/>
    </xf>
    <xf numFmtId="0" fontId="51" fillId="2" borderId="39" xfId="0" applyFont="1" applyFill="1" applyBorder="1" applyAlignment="1" applyProtection="1">
      <alignment horizontal="left" vertical="top" wrapText="1"/>
      <protection locked="0"/>
    </xf>
    <xf numFmtId="0" fontId="51" fillId="2" borderId="23" xfId="0" applyFont="1" applyFill="1" applyBorder="1" applyAlignment="1" applyProtection="1">
      <alignment horizontal="left" vertical="top" wrapText="1"/>
      <protection locked="0"/>
    </xf>
    <xf numFmtId="0" fontId="51" fillId="2" borderId="40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7" fillId="2" borderId="29" xfId="0" applyFont="1" applyFill="1" applyBorder="1" applyAlignment="1" applyProtection="1">
      <alignment horizontal="left" vertical="top" wrapText="1"/>
    </xf>
    <xf numFmtId="0" fontId="7" fillId="2" borderId="38" xfId="0" applyFont="1" applyFill="1" applyBorder="1" applyAlignment="1" applyProtection="1">
      <alignment horizontal="left" vertical="top" wrapText="1"/>
    </xf>
    <xf numFmtId="0" fontId="7" fillId="2" borderId="41" xfId="0" applyFont="1" applyFill="1" applyBorder="1" applyAlignment="1" applyProtection="1">
      <alignment horizontal="left" vertical="top" wrapText="1"/>
    </xf>
    <xf numFmtId="0" fontId="3" fillId="2" borderId="49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10" fillId="2" borderId="39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10" fillId="2" borderId="37" xfId="0" applyFont="1" applyFill="1" applyBorder="1" applyAlignment="1" applyProtection="1">
      <alignment horizontal="left" vertical="top" wrapText="1"/>
      <protection locked="0"/>
    </xf>
    <xf numFmtId="0" fontId="29" fillId="2" borderId="33" xfId="0" applyFont="1" applyFill="1" applyBorder="1" applyAlignment="1" applyProtection="1">
      <alignment horizontal="center" vertical="top" wrapText="1"/>
      <protection locked="0"/>
    </xf>
    <xf numFmtId="0" fontId="29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 applyProtection="1">
      <alignment horizontal="left" vertical="top" wrapText="1"/>
      <protection locked="0"/>
    </xf>
    <xf numFmtId="0" fontId="2" fillId="2" borderId="40" xfId="0" applyFont="1" applyFill="1" applyBorder="1" applyAlignment="1" applyProtection="1">
      <alignment horizontal="left" vertical="top" wrapText="1"/>
      <protection locked="0"/>
    </xf>
    <xf numFmtId="0" fontId="38" fillId="2" borderId="52" xfId="0" applyFont="1" applyFill="1" applyBorder="1" applyAlignment="1" applyProtection="1">
      <alignment horizontal="left" vertical="center" wrapText="1"/>
    </xf>
    <xf numFmtId="0" fontId="38" fillId="2" borderId="11" xfId="0" applyFont="1" applyFill="1" applyBorder="1" applyAlignment="1" applyProtection="1">
      <alignment horizontal="left" vertical="center" wrapText="1"/>
    </xf>
    <xf numFmtId="0" fontId="38" fillId="2" borderId="12" xfId="0" applyFont="1" applyFill="1" applyBorder="1" applyAlignment="1" applyProtection="1">
      <alignment horizontal="left" vertical="center" wrapText="1"/>
    </xf>
    <xf numFmtId="0" fontId="2" fillId="2" borderId="29" xfId="0" applyFont="1" applyFill="1" applyBorder="1" applyAlignment="1" applyProtection="1">
      <alignment horizontal="left" vertical="top" wrapText="1"/>
      <protection locked="0"/>
    </xf>
    <xf numFmtId="0" fontId="2" fillId="2" borderId="38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16" fillId="3" borderId="35" xfId="0" applyFont="1" applyFill="1" applyBorder="1" applyAlignment="1" applyProtection="1">
      <alignment horizontal="center" vertical="center" wrapText="1"/>
      <protection locked="0"/>
    </xf>
    <xf numFmtId="0" fontId="16" fillId="3" borderId="45" xfId="0" applyFont="1" applyFill="1" applyBorder="1" applyAlignment="1" applyProtection="1">
      <alignment horizontal="center" vertical="center" wrapText="1"/>
      <protection locked="0"/>
    </xf>
    <xf numFmtId="0" fontId="38" fillId="2" borderId="24" xfId="0" applyFont="1" applyFill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53" fillId="11" borderId="27" xfId="0" applyFont="1" applyFill="1" applyBorder="1" applyAlignment="1">
      <alignment horizontal="center" vertical="center"/>
    </xf>
    <xf numFmtId="0" fontId="53" fillId="11" borderId="30" xfId="0" applyFont="1" applyFill="1" applyBorder="1" applyAlignment="1">
      <alignment horizontal="center" vertical="center"/>
    </xf>
    <xf numFmtId="0" fontId="53" fillId="11" borderId="46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26" fillId="0" borderId="19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2" fontId="26" fillId="2" borderId="1" xfId="0" applyNumberFormat="1" applyFont="1" applyFill="1" applyBorder="1" applyAlignment="1" applyProtection="1">
      <alignment horizontal="center" vertical="center"/>
      <protection locked="0"/>
    </xf>
    <xf numFmtId="2" fontId="26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top" wrapText="1"/>
    </xf>
    <xf numFmtId="1" fontId="32" fillId="2" borderId="1" xfId="0" applyNumberFormat="1" applyFont="1" applyFill="1" applyBorder="1" applyAlignment="1">
      <alignment horizontal="center" vertical="center"/>
    </xf>
    <xf numFmtId="1" fontId="33" fillId="2" borderId="17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2" fontId="26" fillId="2" borderId="1" xfId="0" applyNumberFormat="1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2" fontId="26" fillId="0" borderId="1" xfId="5" applyNumberFormat="1" applyFont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 vertical="center" wrapText="1"/>
    </xf>
    <xf numFmtId="0" fontId="32" fillId="4" borderId="41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170" fontId="26" fillId="2" borderId="1" xfId="0" applyNumberFormat="1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 wrapText="1"/>
    </xf>
    <xf numFmtId="0" fontId="32" fillId="4" borderId="29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4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center" vertical="top" wrapText="1"/>
    </xf>
    <xf numFmtId="0" fontId="26" fillId="0" borderId="38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53" fillId="11" borderId="10" xfId="0" applyFont="1" applyFill="1" applyBorder="1" applyAlignment="1">
      <alignment horizontal="center" vertical="center"/>
    </xf>
    <xf numFmtId="0" fontId="53" fillId="11" borderId="11" xfId="0" applyFont="1" applyFill="1" applyBorder="1" applyAlignment="1">
      <alignment horizontal="center" vertical="center"/>
    </xf>
    <xf numFmtId="0" fontId="53" fillId="11" borderId="12" xfId="0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73" fontId="4" fillId="2" borderId="1" xfId="0" applyNumberFormat="1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47" xfId="0" applyFont="1" applyBorder="1" applyAlignment="1">
      <alignment horizontal="left" vertical="center" wrapText="1"/>
    </xf>
    <xf numFmtId="0" fontId="37" fillId="0" borderId="48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170" fontId="4" fillId="2" borderId="50" xfId="0" applyNumberFormat="1" applyFont="1" applyFill="1" applyBorder="1" applyAlignment="1">
      <alignment horizontal="center" vertical="center"/>
    </xf>
  </cellXfs>
  <cellStyles count="6">
    <cellStyle name="Hipervínculo" xfId="4" builtinId="8"/>
    <cellStyle name="Millares 2" xfId="5" xr:uid="{00000000-0005-0000-0000-000001000000}"/>
    <cellStyle name="Moneda" xfId="1" builtinId="4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CC00"/>
      <color rgb="FF3CA2BE"/>
      <color rgb="FF9CECE8"/>
      <color rgb="FF5DE1DB"/>
      <color rgb="FF348AA2"/>
      <color rgb="FF256475"/>
      <color rgb="FFFFFFFF"/>
      <color rgb="FFFF5353"/>
      <color rgb="FFFF33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microsoft.com/office/2007/relationships/hdphoto" Target="../media/hdphoto3.wdp"/><Relationship Id="rId5" Type="http://schemas.openxmlformats.org/officeDocument/2006/relationships/image" Target="../media/image4.jpeg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microsoft.com/office/2007/relationships/hdphoto" Target="../media/hdphoto2.wdp"/><Relationship Id="rId14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microsoft.com/office/2007/relationships/hdphoto" Target="../media/hdphoto3.wdp"/><Relationship Id="rId5" Type="http://schemas.openxmlformats.org/officeDocument/2006/relationships/image" Target="../media/image4.jpeg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microsoft.com/office/2007/relationships/hdphoto" Target="../media/hdphoto2.wdp"/><Relationship Id="rId14" Type="http://schemas.openxmlformats.org/officeDocument/2006/relationships/image" Target="../media/image1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3.jpg"/><Relationship Id="rId1" Type="http://schemas.openxmlformats.org/officeDocument/2006/relationships/image" Target="../media/image12.png"/><Relationship Id="rId5" Type="http://schemas.openxmlformats.org/officeDocument/2006/relationships/image" Target="../media/image11.jp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5.jpeg"/><Relationship Id="rId1" Type="http://schemas.openxmlformats.org/officeDocument/2006/relationships/image" Target="../media/image13.jpg"/><Relationship Id="rId5" Type="http://schemas.openxmlformats.org/officeDocument/2006/relationships/image" Target="../media/image11.jp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2.png"/><Relationship Id="rId1" Type="http://schemas.openxmlformats.org/officeDocument/2006/relationships/image" Target="../media/image13.jpg"/><Relationship Id="rId5" Type="http://schemas.openxmlformats.org/officeDocument/2006/relationships/image" Target="../media/image11.jp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275162</xdr:colOff>
      <xdr:row>15</xdr:row>
      <xdr:rowOff>15873</xdr:rowOff>
    </xdr:from>
    <xdr:to>
      <xdr:col>5</xdr:col>
      <xdr:colOff>1415144</xdr:colOff>
      <xdr:row>17</xdr:row>
      <xdr:rowOff>36284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6198805" y="5912302"/>
          <a:ext cx="2038053" cy="7007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ACABADO DECORATIVO COLORED</a:t>
          </a:r>
          <a:r>
            <a:rPr lang="es-CO" sz="12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CO" sz="12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QUARZT</a:t>
          </a:r>
          <a:r>
            <a:rPr lang="es-CO" sz="12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endParaRPr lang="es-CO" sz="1200"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244929</xdr:colOff>
      <xdr:row>5</xdr:row>
      <xdr:rowOff>46868</xdr:rowOff>
    </xdr:from>
    <xdr:to>
      <xdr:col>6</xdr:col>
      <xdr:colOff>90714</xdr:colOff>
      <xdr:row>10</xdr:row>
      <xdr:rowOff>52915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50858" y="3457725"/>
          <a:ext cx="2385785" cy="1139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entury Gothic" panose="020B0502020202020204" pitchFamily="34" charset="0"/>
            </a:rPr>
            <a:t>MONOPUR INDUSTRY MORTAR ACABADO</a:t>
          </a:r>
          <a:r>
            <a:rPr lang="es-CO" sz="1200" b="1" baseline="0">
              <a:latin typeface="Century Gothic" panose="020B0502020202020204" pitchFamily="34" charset="0"/>
            </a:rPr>
            <a:t> SEMIRUGOSO ó SL ACABADO LISO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83157</xdr:colOff>
      <xdr:row>0</xdr:row>
      <xdr:rowOff>7553</xdr:rowOff>
    </xdr:from>
    <xdr:to>
      <xdr:col>12</xdr:col>
      <xdr:colOff>803729</xdr:colOff>
      <xdr:row>3</xdr:row>
      <xdr:rowOff>188684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326574" y="7553"/>
          <a:ext cx="15029238" cy="2647048"/>
          <a:chOff x="3202016" y="-3854020"/>
          <a:chExt cx="12738374" cy="2366911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02016" y="-3854020"/>
            <a:ext cx="12738374" cy="2366911"/>
          </a:xfrm>
          <a:prstGeom prst="rect">
            <a:avLst/>
          </a:prstGeom>
        </xdr:spPr>
      </xdr:pic>
      <xdr:sp macro="" textlink="">
        <xdr:nvSpPr>
          <xdr:cNvPr id="28" name="Rectángulo 2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/>
        </xdr:nvSpPr>
        <xdr:spPr>
          <a:xfrm>
            <a:off x="4297686" y="-3076724"/>
            <a:ext cx="11195655" cy="1481664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s-ES" sz="3500" b="1" cap="none" spc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SISTEMAS MONOPUR INDUSTRY MORTAR</a:t>
            </a:r>
          </a:p>
          <a:p>
            <a:pPr algn="ctr"/>
            <a:r>
              <a:rPr lang="es-ES" sz="3000" b="0" cap="none" spc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Linea</a:t>
            </a:r>
            <a:r>
              <a:rPr lang="es-ES" sz="3000" b="0" cap="none" spc="0" baseline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 Uretano Cemento </a:t>
            </a:r>
            <a:endParaRPr lang="es-ES" sz="3000" b="0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endParaRPr>
          </a:p>
        </xdr:txBody>
      </xdr:sp>
    </xdr:grpSp>
    <xdr:clientData/>
  </xdr:twoCellAnchor>
  <xdr:twoCellAnchor editAs="oneCell">
    <xdr:from>
      <xdr:col>6</xdr:col>
      <xdr:colOff>101899</xdr:colOff>
      <xdr:row>4</xdr:row>
      <xdr:rowOff>323311</xdr:rowOff>
    </xdr:from>
    <xdr:to>
      <xdr:col>12</xdr:col>
      <xdr:colOff>54431</xdr:colOff>
      <xdr:row>9</xdr:row>
      <xdr:rowOff>449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7828" y="3226168"/>
          <a:ext cx="6257174" cy="108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300868</xdr:colOff>
      <xdr:row>10</xdr:row>
      <xdr:rowOff>12243</xdr:rowOff>
    </xdr:from>
    <xdr:to>
      <xdr:col>5</xdr:col>
      <xdr:colOff>1487714</xdr:colOff>
      <xdr:row>13</xdr:row>
      <xdr:rowOff>96760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6006797" y="4557029"/>
          <a:ext cx="2084917" cy="982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entury Gothic" panose="020B0502020202020204" pitchFamily="34" charset="0"/>
            </a:rPr>
            <a:t>ACABADO ANTIDESLIZANTE  QUARZT</a:t>
          </a:r>
          <a:r>
            <a:rPr lang="es-CO" sz="1200" b="1" baseline="0">
              <a:latin typeface="Century Gothic" panose="020B0502020202020204" pitchFamily="34" charset="0"/>
            </a:rPr>
            <a:t> BLEND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1327756</xdr:colOff>
      <xdr:row>14</xdr:row>
      <xdr:rowOff>127001</xdr:rowOff>
    </xdr:from>
    <xdr:to>
      <xdr:col>12</xdr:col>
      <xdr:colOff>489858</xdr:colOff>
      <xdr:row>17</xdr:row>
      <xdr:rowOff>99786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7931756" y="5778501"/>
          <a:ext cx="7110185" cy="650118"/>
          <a:chOff x="3463380" y="5461000"/>
          <a:chExt cx="6869292" cy="589644"/>
        </a:xfrm>
      </xdr:grpSpPr>
      <xdr:pic>
        <xdr:nvPicPr>
          <xdr:cNvPr id="48" name="Picture 2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66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1" r="31029" b="20123"/>
          <a:stretch/>
        </xdr:blipFill>
        <xdr:spPr bwMode="auto">
          <a:xfrm>
            <a:off x="7774215" y="5472535"/>
            <a:ext cx="984936" cy="55089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49" name="Picture 3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2409" b="18647"/>
          <a:stretch/>
        </xdr:blipFill>
        <xdr:spPr bwMode="auto">
          <a:xfrm>
            <a:off x="6682885" y="5470071"/>
            <a:ext cx="973400" cy="56242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0" name="Picture 5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0669" b="12630"/>
          <a:stretch/>
        </xdr:blipFill>
        <xdr:spPr bwMode="auto">
          <a:xfrm>
            <a:off x="5572730" y="5468252"/>
            <a:ext cx="985913" cy="57331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1" name="Picture 8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081"/>
          <a:stretch/>
        </xdr:blipFill>
        <xdr:spPr bwMode="auto">
          <a:xfrm>
            <a:off x="8881846" y="5479143"/>
            <a:ext cx="1450826" cy="526143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2" name="Picture 9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colorTemperature colorTemp="72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31786" b="3196"/>
          <a:stretch/>
        </xdr:blipFill>
        <xdr:spPr bwMode="auto">
          <a:xfrm>
            <a:off x="4488980" y="5461000"/>
            <a:ext cx="965255" cy="58964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3" name="47 Imagen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26203" b="3165"/>
          <a:stretch/>
        </xdr:blipFill>
        <xdr:spPr>
          <a:xfrm>
            <a:off x="3463380" y="5468252"/>
            <a:ext cx="945334" cy="582391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</xdr:grpSp>
    <xdr:clientData/>
  </xdr:twoCellAnchor>
  <xdr:twoCellAnchor>
    <xdr:from>
      <xdr:col>5</xdr:col>
      <xdr:colOff>1454755</xdr:colOff>
      <xdr:row>10</xdr:row>
      <xdr:rowOff>0</xdr:rowOff>
    </xdr:from>
    <xdr:to>
      <xdr:col>12</xdr:col>
      <xdr:colOff>281215</xdr:colOff>
      <xdr:row>13</xdr:row>
      <xdr:rowOff>163286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8058755" y="4529667"/>
          <a:ext cx="6774543" cy="1062869"/>
          <a:chOff x="3392715" y="6366329"/>
          <a:chExt cx="6729649" cy="1420237"/>
        </a:xfrm>
      </xdr:grpSpPr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331" r="16733"/>
          <a:stretch/>
        </xdr:blipFill>
        <xdr:spPr bwMode="auto">
          <a:xfrm>
            <a:off x="4553857" y="6368145"/>
            <a:ext cx="997857" cy="13768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3161"/>
          <a:stretch/>
        </xdr:blipFill>
        <xdr:spPr bwMode="auto">
          <a:xfrm>
            <a:off x="9044215" y="6366329"/>
            <a:ext cx="1078149" cy="14078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576"/>
          <a:stretch/>
        </xdr:blipFill>
        <xdr:spPr bwMode="auto">
          <a:xfrm>
            <a:off x="7772398" y="6402615"/>
            <a:ext cx="1086812" cy="13715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00000000-0008-0000-0500-00003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158" r="66242"/>
          <a:stretch/>
        </xdr:blipFill>
        <xdr:spPr bwMode="auto">
          <a:xfrm>
            <a:off x="6740071" y="6393544"/>
            <a:ext cx="1042301" cy="138067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01" r="33201"/>
          <a:stretch/>
        </xdr:blipFill>
        <xdr:spPr bwMode="auto">
          <a:xfrm>
            <a:off x="5588001" y="6384472"/>
            <a:ext cx="1025241" cy="13262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759" r="49774"/>
          <a:stretch/>
        </xdr:blipFill>
        <xdr:spPr bwMode="auto">
          <a:xfrm>
            <a:off x="3392715" y="6393543"/>
            <a:ext cx="1043214" cy="139302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337155</xdr:colOff>
      <xdr:row>11</xdr:row>
      <xdr:rowOff>126599</xdr:rowOff>
    </xdr:from>
    <xdr:to>
      <xdr:col>1</xdr:col>
      <xdr:colOff>972155</xdr:colOff>
      <xdr:row>13</xdr:row>
      <xdr:rowOff>65921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4" y="4988885"/>
          <a:ext cx="635000" cy="519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36285</xdr:colOff>
      <xdr:row>50</xdr:row>
      <xdr:rowOff>108855</xdr:rowOff>
    </xdr:from>
    <xdr:to>
      <xdr:col>12</xdr:col>
      <xdr:colOff>870857</xdr:colOff>
      <xdr:row>58</xdr:row>
      <xdr:rowOff>161932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1214" y="15793355"/>
          <a:ext cx="15140214" cy="2266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529168</xdr:colOff>
      <xdr:row>6</xdr:row>
      <xdr:rowOff>206828</xdr:rowOff>
    </xdr:from>
    <xdr:to>
      <xdr:col>5</xdr:col>
      <xdr:colOff>202596</xdr:colOff>
      <xdr:row>12</xdr:row>
      <xdr:rowOff>1511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40085" y="3551161"/>
          <a:ext cx="1631344" cy="11387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entury Gothic" panose="020B0502020202020204" pitchFamily="34" charset="0"/>
            </a:rPr>
            <a:t>MONOPUR INDUSTRY SL ACABADO LISO ó MORTAR ACABADO </a:t>
          </a:r>
          <a:r>
            <a:rPr lang="es-CO" sz="1200" b="1" baseline="0">
              <a:latin typeface="Century Gothic" panose="020B0502020202020204" pitchFamily="34" charset="0"/>
            </a:rPr>
            <a:t> SEMIRUGOSO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61990</xdr:colOff>
      <xdr:row>0</xdr:row>
      <xdr:rowOff>52912</xdr:rowOff>
    </xdr:from>
    <xdr:to>
      <xdr:col>12</xdr:col>
      <xdr:colOff>931334</xdr:colOff>
      <xdr:row>3</xdr:row>
      <xdr:rowOff>187476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305407" y="52912"/>
          <a:ext cx="16194010" cy="2600481"/>
          <a:chOff x="3202016" y="-3854020"/>
          <a:chExt cx="12738374" cy="2366911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02016" y="-3854020"/>
            <a:ext cx="12738374" cy="236691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4330986" y="-3269379"/>
            <a:ext cx="11195655" cy="1481664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s-ES" sz="3500" b="1" cap="none" spc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SISTEMAS MONOPUR INDUSTRY MORTAR</a:t>
            </a:r>
          </a:p>
          <a:p>
            <a:pPr algn="ctr"/>
            <a:r>
              <a:rPr lang="es-ES" sz="3000" b="0" cap="none" spc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Linea</a:t>
            </a:r>
            <a:r>
              <a:rPr lang="es-ES" sz="3000" b="0" cap="none" spc="0" baseline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 Uretano Cemento </a:t>
            </a:r>
            <a:endParaRPr lang="es-ES" sz="3000" b="0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endParaRPr>
          </a:p>
        </xdr:txBody>
      </xdr:sp>
    </xdr:grpSp>
    <xdr:clientData/>
  </xdr:twoCellAnchor>
  <xdr:twoCellAnchor editAs="oneCell">
    <xdr:from>
      <xdr:col>5</xdr:col>
      <xdr:colOff>416375</xdr:colOff>
      <xdr:row>6</xdr:row>
      <xdr:rowOff>190500</xdr:rowOff>
    </xdr:from>
    <xdr:to>
      <xdr:col>12</xdr:col>
      <xdr:colOff>184684</xdr:colOff>
      <xdr:row>11</xdr:row>
      <xdr:rowOff>174319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5208" y="3534833"/>
          <a:ext cx="6435809" cy="1105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627441</xdr:colOff>
      <xdr:row>13</xdr:row>
      <xdr:rowOff>113541</xdr:rowOff>
    </xdr:from>
    <xdr:to>
      <xdr:col>5</xdr:col>
      <xdr:colOff>86179</xdr:colOff>
      <xdr:row>16</xdr:row>
      <xdr:rowOff>188986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7538358" y="5024208"/>
          <a:ext cx="1416654" cy="922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entury Gothic" panose="020B0502020202020204" pitchFamily="34" charset="0"/>
            </a:rPr>
            <a:t>ACABADO ANTIDESLIZANTE  QUARZT</a:t>
          </a:r>
          <a:r>
            <a:rPr lang="es-CO" sz="1200" b="1" baseline="0">
              <a:latin typeface="Century Gothic" panose="020B0502020202020204" pitchFamily="34" charset="0"/>
            </a:rPr>
            <a:t> BLEND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556683</xdr:colOff>
      <xdr:row>18</xdr:row>
      <xdr:rowOff>21767</xdr:rowOff>
    </xdr:from>
    <xdr:to>
      <xdr:col>12</xdr:col>
      <xdr:colOff>226573</xdr:colOff>
      <xdr:row>20</xdr:row>
      <xdr:rowOff>212874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9457266" y="6223600"/>
          <a:ext cx="6337390" cy="635607"/>
          <a:chOff x="3463380" y="5461000"/>
          <a:chExt cx="6869292" cy="589644"/>
        </a:xfrm>
      </xdr:grpSpPr>
      <xdr:pic>
        <xdr:nvPicPr>
          <xdr:cNvPr id="9" name="Picture 2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66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1" r="31029" b="20123"/>
          <a:stretch/>
        </xdr:blipFill>
        <xdr:spPr bwMode="auto">
          <a:xfrm>
            <a:off x="7774215" y="5472535"/>
            <a:ext cx="984936" cy="55089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10" name="Picture 3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2409" b="18647"/>
          <a:stretch/>
        </xdr:blipFill>
        <xdr:spPr bwMode="auto">
          <a:xfrm>
            <a:off x="6682885" y="5470071"/>
            <a:ext cx="973400" cy="56242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11" name="Picture 5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0669" b="12630"/>
          <a:stretch/>
        </xdr:blipFill>
        <xdr:spPr bwMode="auto">
          <a:xfrm>
            <a:off x="5572730" y="5468252"/>
            <a:ext cx="985913" cy="57331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12" name="Picture 8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081"/>
          <a:stretch/>
        </xdr:blipFill>
        <xdr:spPr bwMode="auto">
          <a:xfrm>
            <a:off x="8881846" y="5479143"/>
            <a:ext cx="1450826" cy="526143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13" name="Picture 9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colorTemperature colorTemp="72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31786" b="3196"/>
          <a:stretch/>
        </xdr:blipFill>
        <xdr:spPr bwMode="auto">
          <a:xfrm>
            <a:off x="4488980" y="5461000"/>
            <a:ext cx="965255" cy="58964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14" name="47 Imagen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26203" b="3165"/>
          <a:stretch/>
        </xdr:blipFill>
        <xdr:spPr>
          <a:xfrm>
            <a:off x="3463380" y="5468252"/>
            <a:ext cx="945334" cy="582391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</xdr:grpSp>
    <xdr:clientData/>
  </xdr:twoCellAnchor>
  <xdr:twoCellAnchor>
    <xdr:from>
      <xdr:col>4</xdr:col>
      <xdr:colOff>465666</xdr:colOff>
      <xdr:row>18</xdr:row>
      <xdr:rowOff>9825</xdr:rowOff>
    </xdr:from>
    <xdr:to>
      <xdr:col>5</xdr:col>
      <xdr:colOff>212873</xdr:colOff>
      <xdr:row>21</xdr:row>
      <xdr:rowOff>84667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7376583" y="6211658"/>
          <a:ext cx="1705123" cy="7415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ACABADO DECORATIVO COLORED</a:t>
          </a:r>
          <a:r>
            <a:rPr lang="es-CO" sz="12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CO" sz="12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QUARZT</a:t>
          </a:r>
          <a:r>
            <a:rPr lang="es-CO" sz="12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endParaRPr lang="es-CO" sz="1200"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414564</xdr:colOff>
      <xdr:row>12</xdr:row>
      <xdr:rowOff>150588</xdr:rowOff>
    </xdr:from>
    <xdr:to>
      <xdr:col>11</xdr:col>
      <xdr:colOff>1543047</xdr:colOff>
      <xdr:row>17</xdr:row>
      <xdr:rowOff>114300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pSpPr/>
      </xdr:nvGrpSpPr>
      <xdr:grpSpPr>
        <a:xfrm>
          <a:off x="9315147" y="4839005"/>
          <a:ext cx="5711067" cy="1254878"/>
          <a:chOff x="3392715" y="6366329"/>
          <a:chExt cx="6729649" cy="1420237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331" r="16733"/>
          <a:stretch/>
        </xdr:blipFill>
        <xdr:spPr bwMode="auto">
          <a:xfrm>
            <a:off x="4553857" y="6368145"/>
            <a:ext cx="997857" cy="13768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3161"/>
          <a:stretch/>
        </xdr:blipFill>
        <xdr:spPr bwMode="auto">
          <a:xfrm>
            <a:off x="9044215" y="6366329"/>
            <a:ext cx="1078149" cy="14078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576"/>
          <a:stretch/>
        </xdr:blipFill>
        <xdr:spPr bwMode="auto">
          <a:xfrm>
            <a:off x="7772398" y="6402615"/>
            <a:ext cx="1086812" cy="13715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158" r="66242"/>
          <a:stretch/>
        </xdr:blipFill>
        <xdr:spPr bwMode="auto">
          <a:xfrm>
            <a:off x="6740071" y="6393544"/>
            <a:ext cx="1042301" cy="138067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01" r="33201"/>
          <a:stretch/>
        </xdr:blipFill>
        <xdr:spPr bwMode="auto">
          <a:xfrm>
            <a:off x="5588001" y="6384472"/>
            <a:ext cx="1025241" cy="13262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759" r="49774"/>
          <a:stretch/>
        </xdr:blipFill>
        <xdr:spPr bwMode="auto">
          <a:xfrm>
            <a:off x="3392715" y="6393543"/>
            <a:ext cx="1043214" cy="139302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626533</xdr:colOff>
      <xdr:row>14</xdr:row>
      <xdr:rowOff>156633</xdr:rowOff>
    </xdr:from>
    <xdr:to>
      <xdr:col>1</xdr:col>
      <xdr:colOff>1261533</xdr:colOff>
      <xdr:row>16</xdr:row>
      <xdr:rowOff>144638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" y="5384800"/>
          <a:ext cx="635000" cy="517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54</xdr:row>
      <xdr:rowOff>158750</xdr:rowOff>
    </xdr:from>
    <xdr:to>
      <xdr:col>12</xdr:col>
      <xdr:colOff>846666</xdr:colOff>
      <xdr:row>61</xdr:row>
      <xdr:rowOff>920750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8666" y="16732250"/>
          <a:ext cx="16076083" cy="2317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143397</xdr:colOff>
      <xdr:row>40</xdr:row>
      <xdr:rowOff>0</xdr:rowOff>
    </xdr:from>
    <xdr:to>
      <xdr:col>9</xdr:col>
      <xdr:colOff>146572</xdr:colOff>
      <xdr:row>49</xdr:row>
      <xdr:rowOff>162371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4197" y="12827000"/>
          <a:ext cx="0" cy="197688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158749</xdr:colOff>
      <xdr:row>0</xdr:row>
      <xdr:rowOff>95248</xdr:rowOff>
    </xdr:from>
    <xdr:to>
      <xdr:col>14</xdr:col>
      <xdr:colOff>1291167</xdr:colOff>
      <xdr:row>5</xdr:row>
      <xdr:rowOff>169333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332" y="95248"/>
          <a:ext cx="15970252" cy="2889252"/>
        </a:xfrm>
        <a:prstGeom prst="rect">
          <a:avLst/>
        </a:prstGeom>
      </xdr:spPr>
    </xdr:pic>
    <xdr:clientData/>
  </xdr:twoCellAnchor>
  <xdr:twoCellAnchor editAs="oneCell">
    <xdr:from>
      <xdr:col>7</xdr:col>
      <xdr:colOff>120953</xdr:colOff>
      <xdr:row>13</xdr:row>
      <xdr:rowOff>56317</xdr:rowOff>
    </xdr:from>
    <xdr:to>
      <xdr:col>13</xdr:col>
      <xdr:colOff>327941</xdr:colOff>
      <xdr:row>18</xdr:row>
      <xdr:rowOff>141208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7870" y="4395484"/>
          <a:ext cx="6440571" cy="111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68036</xdr:colOff>
      <xdr:row>8</xdr:row>
      <xdr:rowOff>121609</xdr:rowOff>
    </xdr:from>
    <xdr:to>
      <xdr:col>6</xdr:col>
      <xdr:colOff>243415</xdr:colOff>
      <xdr:row>21</xdr:row>
      <xdr:rowOff>122283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536" y="3508276"/>
          <a:ext cx="5572879" cy="3345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53</xdr:row>
      <xdr:rowOff>158751</xdr:rowOff>
    </xdr:from>
    <xdr:to>
      <xdr:col>14</xdr:col>
      <xdr:colOff>1449916</xdr:colOff>
      <xdr:row>61</xdr:row>
      <xdr:rowOff>137584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834" y="15081251"/>
          <a:ext cx="16192499" cy="2317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135164</xdr:colOff>
      <xdr:row>0</xdr:row>
      <xdr:rowOff>0</xdr:rowOff>
    </xdr:from>
    <xdr:to>
      <xdr:col>13</xdr:col>
      <xdr:colOff>423333</xdr:colOff>
      <xdr:row>6</xdr:row>
      <xdr:rowOff>68036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747" y="0"/>
          <a:ext cx="15337669" cy="2830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1214058</xdr:colOff>
      <xdr:row>8</xdr:row>
      <xdr:rowOff>154213</xdr:rowOff>
    </xdr:from>
    <xdr:to>
      <xdr:col>6</xdr:col>
      <xdr:colOff>598562</xdr:colOff>
      <xdr:row>15</xdr:row>
      <xdr:rowOff>434399</xdr:rowOff>
    </xdr:to>
    <xdr:pic>
      <xdr:nvPicPr>
        <xdr:cNvPr id="17" name="6 Imagen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1058" y="3360963"/>
          <a:ext cx="5501670" cy="3169436"/>
        </a:xfrm>
        <a:prstGeom prst="rect">
          <a:avLst/>
        </a:prstGeom>
      </xdr:spPr>
    </xdr:pic>
    <xdr:clientData/>
  </xdr:twoCellAnchor>
  <xdr:twoCellAnchor editAs="oneCell">
    <xdr:from>
      <xdr:col>8</xdr:col>
      <xdr:colOff>61989</xdr:colOff>
      <xdr:row>12</xdr:row>
      <xdr:rowOff>24191</xdr:rowOff>
    </xdr:from>
    <xdr:to>
      <xdr:col>12</xdr:col>
      <xdr:colOff>1514785</xdr:colOff>
      <xdr:row>13</xdr:row>
      <xdr:rowOff>33335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322" y="4003524"/>
          <a:ext cx="6426963" cy="1109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143397</xdr:colOff>
      <xdr:row>38</xdr:row>
      <xdr:rowOff>0</xdr:rowOff>
    </xdr:from>
    <xdr:to>
      <xdr:col>9</xdr:col>
      <xdr:colOff>146572</xdr:colOff>
      <xdr:row>47</xdr:row>
      <xdr:rowOff>105221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897" y="12687300"/>
          <a:ext cx="0" cy="19689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51</xdr:row>
      <xdr:rowOff>127001</xdr:rowOff>
    </xdr:from>
    <xdr:to>
      <xdr:col>13</xdr:col>
      <xdr:colOff>508001</xdr:colOff>
      <xdr:row>58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8083" y="15652751"/>
          <a:ext cx="15494001" cy="2180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0</xdr:row>
      <xdr:rowOff>37798</xdr:rowOff>
    </xdr:from>
    <xdr:to>
      <xdr:col>13</xdr:col>
      <xdr:colOff>603250</xdr:colOff>
      <xdr:row>6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67" y="37798"/>
          <a:ext cx="14382750" cy="2851452"/>
        </a:xfrm>
        <a:prstGeom prst="rect">
          <a:avLst/>
        </a:prstGeom>
      </xdr:spPr>
    </xdr:pic>
    <xdr:clientData/>
  </xdr:twoCellAnchor>
  <xdr:twoCellAnchor editAs="oneCell">
    <xdr:from>
      <xdr:col>6</xdr:col>
      <xdr:colOff>402165</xdr:colOff>
      <xdr:row>12</xdr:row>
      <xdr:rowOff>234346</xdr:rowOff>
    </xdr:from>
    <xdr:to>
      <xdr:col>12</xdr:col>
      <xdr:colOff>1464134</xdr:colOff>
      <xdr:row>13</xdr:row>
      <xdr:rowOff>243490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5582" y="4213679"/>
          <a:ext cx="6427719" cy="1109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1138464</xdr:colOff>
      <xdr:row>7</xdr:row>
      <xdr:rowOff>172356</xdr:rowOff>
    </xdr:from>
    <xdr:to>
      <xdr:col>5</xdr:col>
      <xdr:colOff>578585</xdr:colOff>
      <xdr:row>15</xdr:row>
      <xdr:rowOff>340329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797" y="3146273"/>
          <a:ext cx="4858788" cy="3290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143397</xdr:colOff>
      <xdr:row>37</xdr:row>
      <xdr:rowOff>0</xdr:rowOff>
    </xdr:from>
    <xdr:to>
      <xdr:col>9</xdr:col>
      <xdr:colOff>146572</xdr:colOff>
      <xdr:row>46</xdr:row>
      <xdr:rowOff>133796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8997" y="13950950"/>
          <a:ext cx="0" cy="19943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31749</xdr:colOff>
      <xdr:row>51</xdr:row>
      <xdr:rowOff>0</xdr:rowOff>
    </xdr:from>
    <xdr:to>
      <xdr:col>13</xdr:col>
      <xdr:colOff>709082</xdr:colOff>
      <xdr:row>64</xdr:row>
      <xdr:rowOff>148167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5166" y="15737417"/>
          <a:ext cx="14679083" cy="2381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looring%20Info/SIMULADOR%20SISTEMAS%20FLOWFRESH%20-%20(Version%20Febrero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a Survey"/>
      <sheetName val="SURVEY"/>
      <sheetName val="Seleccion Sistema"/>
      <sheetName val="CODIGOS"/>
      <sheetName val="DATA"/>
      <sheetName val="Flowfresh Trafico Pesado"/>
      <sheetName val="Flowfresh Trafico Mediano"/>
      <sheetName val="Flowfresh Cove Completa"/>
      <sheetName val="Cove System Recubrimiento"/>
      <sheetName val="Cove System Bordillo"/>
    </sheetNames>
    <sheetDataSet>
      <sheetData sheetId="0"/>
      <sheetData sheetId="1"/>
      <sheetData sheetId="2"/>
      <sheetData sheetId="3"/>
      <sheetData sheetId="4">
        <row r="43">
          <cell r="B43" t="str">
            <v>Flowfresh FC (Sello Mate)</v>
          </cell>
          <cell r="C43">
            <v>7940</v>
          </cell>
          <cell r="D43">
            <v>437000</v>
          </cell>
          <cell r="E43" t="str">
            <v>Kit x 32 Lb - 15,4 kg</v>
          </cell>
          <cell r="F43">
            <v>22.2</v>
          </cell>
          <cell r="G43" t="str">
            <v>120 Ft2/Unidad</v>
          </cell>
          <cell r="H43">
            <v>2</v>
          </cell>
        </row>
        <row r="44">
          <cell r="B44" t="str">
            <v>Flowfresh FC UV (Sello Mate UV)
Superficie Lisa</v>
          </cell>
          <cell r="C44">
            <v>7899</v>
          </cell>
          <cell r="D44">
            <v>1101128</v>
          </cell>
          <cell r="E44" t="str">
            <v>Kit x  23,8 Lb</v>
          </cell>
          <cell r="F44">
            <v>27</v>
          </cell>
          <cell r="G44" t="str">
            <v>230 Ft2/Unidad</v>
          </cell>
          <cell r="H44">
            <v>1</v>
          </cell>
        </row>
        <row r="45">
          <cell r="B45" t="str">
            <v>Flowfresh FC UV (Sello Mate UV)
Superficie Rugosa</v>
          </cell>
          <cell r="C45">
            <v>7899</v>
          </cell>
          <cell r="D45">
            <v>1101128</v>
          </cell>
          <cell r="E45" t="str">
            <v>Kit x  23,8 Lb</v>
          </cell>
          <cell r="F45">
            <v>21.4</v>
          </cell>
          <cell r="G45">
            <v>0</v>
          </cell>
          <cell r="H45">
            <v>1</v>
          </cell>
        </row>
        <row r="46">
          <cell r="B46" t="str">
            <v>Flowfresh SR Sealer (Brillante)
Superficie Rugosa</v>
          </cell>
          <cell r="C46">
            <v>4015</v>
          </cell>
          <cell r="D46">
            <v>365500</v>
          </cell>
          <cell r="E46" t="str">
            <v>Kit x 1,5 Gal  -  
Unid x 17 Lb</v>
          </cell>
          <cell r="F46">
            <v>11.1</v>
          </cell>
          <cell r="G46" t="str">
            <v>120  Ft2/Unidad</v>
          </cell>
          <cell r="H46">
            <v>1</v>
          </cell>
        </row>
        <row r="47">
          <cell r="B47" t="str">
            <v>Flowcoat CR (Resistencia Quimica)</v>
          </cell>
          <cell r="C47">
            <v>4531</v>
          </cell>
          <cell r="D47">
            <v>1250000</v>
          </cell>
          <cell r="E47" t="str">
            <v>Unid x 3 Gal</v>
          </cell>
          <cell r="F47">
            <v>22</v>
          </cell>
          <cell r="G47" t="str">
            <v>80 Ft2/Gal</v>
          </cell>
          <cell r="H47">
            <v>0</v>
          </cell>
        </row>
        <row r="48">
          <cell r="B48" t="str">
            <v>Flowseal PA</v>
          </cell>
          <cell r="C48">
            <v>7431</v>
          </cell>
          <cell r="D48">
            <v>1199000</v>
          </cell>
          <cell r="E48" t="str">
            <v>Unid x 3 Gal</v>
          </cell>
          <cell r="F48">
            <v>27.87</v>
          </cell>
          <cell r="G48">
            <v>0</v>
          </cell>
          <cell r="H48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2" Type="http://schemas.openxmlformats.org/officeDocument/2006/relationships/hyperlink" Target="https://www.toxement.com.co/media/4547/pisos-industriales_-mono-primer-gc.pdf" TargetMode="External"/><Relationship Id="rId1" Type="http://schemas.openxmlformats.org/officeDocument/2006/relationships/hyperlink" Target="https://www.toxement.com.co/media/4550/pisos-industriales_monopur-industry-mortar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toxement.com.co/media/4594/tabla-de-resistencia-quimica-monopur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toxement.com.co/media/4594/tabla-de-resistencia-quimica-monopur.pdf" TargetMode="External"/><Relationship Id="rId1" Type="http://schemas.openxmlformats.org/officeDocument/2006/relationships/hyperlink" Target="https://www.toxement.com.co/media/4547/pisos-industriales_-mono-primer-gc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toxement.com.co/media/4552/pisos-industriales_monopur-industry-sl-2-mm.pdf" TargetMode="External"/><Relationship Id="rId4" Type="http://schemas.openxmlformats.org/officeDocument/2006/relationships/hyperlink" Target="https://www.toxement.com.co/media/4551/pisos-industriales_-monopur-industry-sl-4-mm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2" Type="http://schemas.openxmlformats.org/officeDocument/2006/relationships/hyperlink" Target="https://www.toxement.com.co/media/4594/tabla-de-resistencia-quimica-monopur.pdf" TargetMode="External"/><Relationship Id="rId1" Type="http://schemas.openxmlformats.org/officeDocument/2006/relationships/hyperlink" Target="https://www.toxement.com.co/media/4547/pisos-industriales_-mono-primer-gc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toxement.com.co/media/4549/pisos-industriales_-monopur-industry-cove-system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2" Type="http://schemas.openxmlformats.org/officeDocument/2006/relationships/hyperlink" Target="https://www.toxement.com.co/media/4594/tabla-de-resistencia-quimica-monopur.pdf" TargetMode="External"/><Relationship Id="rId1" Type="http://schemas.openxmlformats.org/officeDocument/2006/relationships/hyperlink" Target="https://www.toxement.com.co/media/4547/pisos-industriales_-mono-primer-gc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toxement.com.co/media/4549/pisos-industriales_-monopur-industry-cove-system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2" Type="http://schemas.openxmlformats.org/officeDocument/2006/relationships/hyperlink" Target="https://www.toxement.com.co/media/4594/tabla-de-resistencia-quimica-monopur.pdf" TargetMode="External"/><Relationship Id="rId1" Type="http://schemas.openxmlformats.org/officeDocument/2006/relationships/hyperlink" Target="https://www.toxement.com.co/media/4547/pisos-industriales_-mono-primer-gc.pdf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toxement.com.co/media/4549/pisos-industriales_-monopur-industry-cove-syst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S93"/>
  <sheetViews>
    <sheetView topLeftCell="A64" zoomScale="80" zoomScaleNormal="80" workbookViewId="0">
      <selection activeCell="Z71" sqref="Z71"/>
    </sheetView>
  </sheetViews>
  <sheetFormatPr baseColWidth="10" defaultRowHeight="14.5" x14ac:dyDescent="0.35"/>
  <cols>
    <col min="1" max="1" width="23.36328125" customWidth="1"/>
    <col min="2" max="2" width="43" hidden="1" customWidth="1"/>
    <col min="3" max="3" width="17.54296875" style="11" hidden="1" customWidth="1"/>
    <col min="4" max="4" width="19.453125" style="11" hidden="1" customWidth="1"/>
    <col min="5" max="5" width="21.453125" style="11" hidden="1" customWidth="1"/>
    <col min="6" max="6" width="20.7265625" style="11" hidden="1" customWidth="1"/>
    <col min="7" max="7" width="23.26953125" style="11" hidden="1" customWidth="1"/>
    <col min="8" max="8" width="21.81640625" hidden="1" customWidth="1"/>
    <col min="9" max="9" width="40.90625" style="11" hidden="1" customWidth="1"/>
    <col min="10" max="10" width="30.54296875" style="11" hidden="1" customWidth="1"/>
    <col min="11" max="11" width="71.6328125" style="11" hidden="1" customWidth="1"/>
    <col min="12" max="12" width="12.1796875" hidden="1" customWidth="1"/>
    <col min="13" max="14" width="12.7265625" hidden="1" customWidth="1"/>
    <col min="15" max="15" width="7.1796875" hidden="1" customWidth="1"/>
    <col min="16" max="16" width="17.90625" hidden="1" customWidth="1"/>
    <col min="17" max="17" width="19.1796875" hidden="1" customWidth="1"/>
    <col min="18" max="18" width="14.453125" hidden="1" customWidth="1"/>
    <col min="19" max="19" width="13.90625" hidden="1" customWidth="1"/>
    <col min="20" max="23" width="0" hidden="1" customWidth="1"/>
  </cols>
  <sheetData>
    <row r="3" spans="2:6" ht="15" thickBot="1" x14ac:dyDescent="0.4"/>
    <row r="4" spans="2:6" x14ac:dyDescent="0.35">
      <c r="B4" s="61" t="s">
        <v>53</v>
      </c>
      <c r="C4" s="62" t="s">
        <v>9</v>
      </c>
      <c r="D4" s="63" t="s">
        <v>5</v>
      </c>
      <c r="E4" s="64" t="s">
        <v>10</v>
      </c>
    </row>
    <row r="5" spans="2:6" x14ac:dyDescent="0.35">
      <c r="B5" s="271" t="s">
        <v>220</v>
      </c>
      <c r="C5" s="33">
        <v>5833</v>
      </c>
      <c r="D5" s="276">
        <f>D15</f>
        <v>8400</v>
      </c>
      <c r="E5" s="33" t="s">
        <v>219</v>
      </c>
    </row>
    <row r="6" spans="2:6" x14ac:dyDescent="0.35">
      <c r="B6" s="271" t="s">
        <v>221</v>
      </c>
      <c r="C6" s="33">
        <v>5830</v>
      </c>
      <c r="D6" s="276">
        <f>D21</f>
        <v>17745</v>
      </c>
      <c r="E6" s="33" t="s">
        <v>219</v>
      </c>
    </row>
    <row r="7" spans="2:6" x14ac:dyDescent="0.35">
      <c r="B7" s="271" t="s">
        <v>222</v>
      </c>
      <c r="C7" s="33">
        <v>5791</v>
      </c>
      <c r="D7" s="276">
        <f>D22</f>
        <v>17745</v>
      </c>
      <c r="E7" s="33" t="s">
        <v>219</v>
      </c>
    </row>
    <row r="8" spans="2:6" x14ac:dyDescent="0.35">
      <c r="B8" s="271" t="s">
        <v>223</v>
      </c>
      <c r="C8" s="33">
        <v>5831</v>
      </c>
      <c r="D8" s="276">
        <f>D19</f>
        <v>8400</v>
      </c>
      <c r="E8" s="33" t="s">
        <v>219</v>
      </c>
    </row>
    <row r="9" spans="2:6" x14ac:dyDescent="0.35">
      <c r="B9" s="271" t="s">
        <v>224</v>
      </c>
      <c r="C9" s="33">
        <v>5832</v>
      </c>
      <c r="D9" s="276">
        <f>D18</f>
        <v>27300</v>
      </c>
      <c r="E9" s="33" t="s">
        <v>219</v>
      </c>
    </row>
    <row r="10" spans="2:6" x14ac:dyDescent="0.35">
      <c r="B10" s="271" t="s">
        <v>225</v>
      </c>
      <c r="C10" s="33">
        <v>5834</v>
      </c>
      <c r="D10" s="276">
        <f>D17</f>
        <v>10185</v>
      </c>
      <c r="E10" s="33" t="s">
        <v>219</v>
      </c>
    </row>
    <row r="11" spans="2:6" x14ac:dyDescent="0.35">
      <c r="B11" s="271" t="s">
        <v>226</v>
      </c>
      <c r="C11" s="33">
        <v>5835</v>
      </c>
      <c r="D11" s="276">
        <v>10996</v>
      </c>
      <c r="E11" s="33" t="s">
        <v>219</v>
      </c>
    </row>
    <row r="13" spans="2:6" ht="15" thickBot="1" x14ac:dyDescent="0.4"/>
    <row r="14" spans="2:6" x14ac:dyDescent="0.35">
      <c r="B14" s="61" t="s">
        <v>53</v>
      </c>
      <c r="C14" s="62" t="s">
        <v>9</v>
      </c>
      <c r="D14" s="63" t="s">
        <v>5</v>
      </c>
      <c r="E14" s="63" t="s">
        <v>10</v>
      </c>
      <c r="F14" s="64" t="s">
        <v>87</v>
      </c>
    </row>
    <row r="15" spans="2:6" x14ac:dyDescent="0.35">
      <c r="B15" s="272" t="s">
        <v>204</v>
      </c>
      <c r="C15" s="33">
        <v>6513</v>
      </c>
      <c r="D15" s="276">
        <v>8400</v>
      </c>
      <c r="E15" s="33" t="s">
        <v>212</v>
      </c>
      <c r="F15" s="273">
        <v>2</v>
      </c>
    </row>
    <row r="16" spans="2:6" x14ac:dyDescent="0.35">
      <c r="B16" s="272" t="s">
        <v>205</v>
      </c>
      <c r="C16" s="33">
        <v>6514</v>
      </c>
      <c r="D16" s="276">
        <v>12075</v>
      </c>
      <c r="E16" s="33" t="s">
        <v>212</v>
      </c>
      <c r="F16" s="273">
        <v>1</v>
      </c>
    </row>
    <row r="17" spans="2:8" x14ac:dyDescent="0.35">
      <c r="B17" s="272" t="s">
        <v>206</v>
      </c>
      <c r="C17" s="33">
        <v>6515</v>
      </c>
      <c r="D17" s="276">
        <v>10185</v>
      </c>
      <c r="E17" s="33" t="s">
        <v>212</v>
      </c>
      <c r="F17" s="273">
        <v>1</v>
      </c>
    </row>
    <row r="18" spans="2:8" x14ac:dyDescent="0.35">
      <c r="B18" s="272" t="s">
        <v>207</v>
      </c>
      <c r="C18" s="33">
        <v>6516</v>
      </c>
      <c r="D18" s="276">
        <v>27300</v>
      </c>
      <c r="E18" s="33" t="s">
        <v>212</v>
      </c>
      <c r="F18" s="273">
        <v>1</v>
      </c>
    </row>
    <row r="19" spans="2:8" x14ac:dyDescent="0.35">
      <c r="B19" s="272" t="s">
        <v>208</v>
      </c>
      <c r="C19" s="33">
        <v>6517</v>
      </c>
      <c r="D19" s="276">
        <v>8400</v>
      </c>
      <c r="E19" s="33" t="s">
        <v>212</v>
      </c>
      <c r="F19" s="273">
        <v>2</v>
      </c>
    </row>
    <row r="20" spans="2:8" x14ac:dyDescent="0.35">
      <c r="B20" s="272" t="s">
        <v>209</v>
      </c>
      <c r="C20" s="33">
        <v>6518</v>
      </c>
      <c r="D20" s="276">
        <f>D11</f>
        <v>10996</v>
      </c>
      <c r="E20" s="33" t="s">
        <v>212</v>
      </c>
      <c r="F20" s="273">
        <v>1</v>
      </c>
    </row>
    <row r="21" spans="2:8" x14ac:dyDescent="0.35">
      <c r="B21" s="272" t="s">
        <v>210</v>
      </c>
      <c r="C21" s="33">
        <v>6519</v>
      </c>
      <c r="D21" s="276">
        <v>17745</v>
      </c>
      <c r="E21" s="33" t="s">
        <v>212</v>
      </c>
      <c r="F21" s="273">
        <v>1</v>
      </c>
    </row>
    <row r="22" spans="2:8" ht="15" thickBot="1" x14ac:dyDescent="0.4">
      <c r="B22" s="272" t="s">
        <v>211</v>
      </c>
      <c r="C22" s="33">
        <v>7822</v>
      </c>
      <c r="D22" s="276">
        <v>17745</v>
      </c>
      <c r="E22" s="33" t="s">
        <v>212</v>
      </c>
      <c r="F22" s="274">
        <v>1</v>
      </c>
    </row>
    <row r="23" spans="2:8" x14ac:dyDescent="0.35">
      <c r="B23" s="10"/>
      <c r="D23" s="9"/>
    </row>
    <row r="24" spans="2:8" ht="15" thickBot="1" x14ac:dyDescent="0.4"/>
    <row r="25" spans="2:8" x14ac:dyDescent="0.35">
      <c r="B25" s="61" t="s">
        <v>54</v>
      </c>
      <c r="C25" s="62" t="s">
        <v>9</v>
      </c>
      <c r="D25" s="63" t="s">
        <v>5</v>
      </c>
      <c r="E25" s="63" t="s">
        <v>10</v>
      </c>
      <c r="F25" s="63" t="s">
        <v>168</v>
      </c>
      <c r="G25" s="97" t="s">
        <v>21</v>
      </c>
      <c r="H25" s="98" t="s">
        <v>172</v>
      </c>
    </row>
    <row r="26" spans="2:8" x14ac:dyDescent="0.35">
      <c r="B26" s="65" t="s">
        <v>66</v>
      </c>
      <c r="C26" s="27">
        <v>6557</v>
      </c>
      <c r="D26" s="276">
        <v>118025</v>
      </c>
      <c r="E26" s="27" t="s">
        <v>175</v>
      </c>
      <c r="F26" s="143">
        <f>3/H26</f>
        <v>7.5</v>
      </c>
      <c r="G26" s="27">
        <v>1</v>
      </c>
      <c r="H26" s="144">
        <v>0.4</v>
      </c>
    </row>
    <row r="27" spans="2:8" x14ac:dyDescent="0.35">
      <c r="B27" s="65" t="s">
        <v>67</v>
      </c>
      <c r="C27" s="27">
        <v>6558</v>
      </c>
      <c r="D27" s="276">
        <v>365500</v>
      </c>
      <c r="E27" s="27" t="s">
        <v>176</v>
      </c>
      <c r="F27" s="202">
        <f>5/H27</f>
        <v>16.666666666666668</v>
      </c>
      <c r="G27" s="27">
        <v>1</v>
      </c>
      <c r="H27" s="144">
        <v>0.3</v>
      </c>
    </row>
    <row r="28" spans="2:8" ht="15" thickBot="1" x14ac:dyDescent="0.4">
      <c r="B28" s="66" t="s">
        <v>150</v>
      </c>
      <c r="C28" s="67">
        <v>7940</v>
      </c>
      <c r="D28" s="276">
        <v>481740</v>
      </c>
      <c r="E28" s="67" t="s">
        <v>177</v>
      </c>
      <c r="F28" s="202">
        <v>32.6</v>
      </c>
      <c r="G28" s="67">
        <v>1</v>
      </c>
      <c r="H28" s="145">
        <v>0.47499999999999998</v>
      </c>
    </row>
    <row r="29" spans="2:8" x14ac:dyDescent="0.35">
      <c r="B29" s="10"/>
      <c r="C29" s="47"/>
      <c r="D29" s="68"/>
      <c r="E29" s="47"/>
      <c r="F29" s="69"/>
      <c r="G29" s="47"/>
    </row>
    <row r="30" spans="2:8" ht="15" thickBot="1" x14ac:dyDescent="0.4"/>
    <row r="31" spans="2:8" x14ac:dyDescent="0.35">
      <c r="B31" s="61" t="s">
        <v>190</v>
      </c>
      <c r="C31" s="62" t="s">
        <v>11</v>
      </c>
      <c r="D31" s="63" t="s">
        <v>5</v>
      </c>
      <c r="E31" s="63" t="s">
        <v>10</v>
      </c>
      <c r="F31" s="64" t="s">
        <v>170</v>
      </c>
    </row>
    <row r="32" spans="2:8" x14ac:dyDescent="0.35">
      <c r="B32" s="71" t="s">
        <v>12</v>
      </c>
      <c r="C32" s="27">
        <v>2014</v>
      </c>
      <c r="D32" s="276">
        <v>57900</v>
      </c>
      <c r="E32" s="27" t="s">
        <v>18</v>
      </c>
      <c r="F32" s="144">
        <v>0.15</v>
      </c>
    </row>
    <row r="33" spans="2:7" x14ac:dyDescent="0.35">
      <c r="B33" s="71" t="s">
        <v>14</v>
      </c>
      <c r="C33" s="27">
        <v>2015</v>
      </c>
      <c r="D33" s="276">
        <v>57900</v>
      </c>
      <c r="E33" s="27" t="s">
        <v>18</v>
      </c>
      <c r="F33" s="144">
        <v>0.15</v>
      </c>
    </row>
    <row r="34" spans="2:7" ht="15" thickBot="1" x14ac:dyDescent="0.4">
      <c r="B34" s="72" t="s">
        <v>138</v>
      </c>
      <c r="C34" s="67">
        <v>3073</v>
      </c>
      <c r="D34" s="276">
        <v>57900</v>
      </c>
      <c r="E34" s="67" t="s">
        <v>18</v>
      </c>
      <c r="F34" s="144">
        <v>0.15</v>
      </c>
    </row>
    <row r="35" spans="2:7" x14ac:dyDescent="0.35">
      <c r="B35" s="70"/>
      <c r="C35" s="183"/>
      <c r="D35" s="183"/>
      <c r="E35" s="183"/>
      <c r="F35"/>
    </row>
    <row r="36" spans="2:7" x14ac:dyDescent="0.35">
      <c r="B36" s="70"/>
      <c r="C36" s="47"/>
      <c r="D36" s="47"/>
      <c r="E36" s="47"/>
      <c r="F36" s="47"/>
    </row>
    <row r="37" spans="2:7" ht="15" thickBot="1" x14ac:dyDescent="0.4"/>
    <row r="38" spans="2:7" x14ac:dyDescent="0.35">
      <c r="B38" s="61" t="s">
        <v>55</v>
      </c>
      <c r="C38" s="62" t="s">
        <v>11</v>
      </c>
      <c r="D38" s="63" t="s">
        <v>5</v>
      </c>
      <c r="E38" s="63" t="s">
        <v>10</v>
      </c>
      <c r="F38" s="63" t="s">
        <v>171</v>
      </c>
      <c r="G38" s="64" t="s">
        <v>65</v>
      </c>
    </row>
    <row r="39" spans="2:7" ht="21" customHeight="1" x14ac:dyDescent="0.35">
      <c r="B39" s="71" t="s">
        <v>12</v>
      </c>
      <c r="C39" s="27">
        <v>2014</v>
      </c>
      <c r="D39" s="277">
        <f>D32</f>
        <v>57900</v>
      </c>
      <c r="E39" s="27" t="s">
        <v>18</v>
      </c>
      <c r="F39" s="143">
        <v>30</v>
      </c>
      <c r="G39" s="93"/>
    </row>
    <row r="40" spans="2:7" ht="18.5" customHeight="1" x14ac:dyDescent="0.35">
      <c r="B40" s="71" t="s">
        <v>14</v>
      </c>
      <c r="C40" s="27">
        <v>2015</v>
      </c>
      <c r="D40" s="277">
        <f t="shared" ref="D40:D41" si="0">D33</f>
        <v>57900</v>
      </c>
      <c r="E40" s="27" t="s">
        <v>18</v>
      </c>
      <c r="F40" s="143">
        <v>30</v>
      </c>
      <c r="G40" s="93"/>
    </row>
    <row r="41" spans="2:7" ht="18.5" customHeight="1" x14ac:dyDescent="0.35">
      <c r="B41" s="71" t="s">
        <v>138</v>
      </c>
      <c r="C41" s="27">
        <v>3073</v>
      </c>
      <c r="D41" s="277">
        <f t="shared" si="0"/>
        <v>57900</v>
      </c>
      <c r="E41" s="27" t="s">
        <v>18</v>
      </c>
      <c r="F41" s="143">
        <v>30</v>
      </c>
      <c r="G41" s="93"/>
    </row>
    <row r="42" spans="2:7" x14ac:dyDescent="0.35">
      <c r="B42" s="74" t="s">
        <v>198</v>
      </c>
      <c r="C42" s="101">
        <v>4010</v>
      </c>
      <c r="D42" s="277">
        <v>140000</v>
      </c>
      <c r="E42" s="27" t="s">
        <v>24</v>
      </c>
      <c r="F42" s="275">
        <v>4.6399999999999997</v>
      </c>
      <c r="G42" s="94"/>
    </row>
    <row r="43" spans="2:7" x14ac:dyDescent="0.35">
      <c r="B43" s="74" t="s">
        <v>199</v>
      </c>
      <c r="C43" s="101">
        <v>4011</v>
      </c>
      <c r="D43" s="277">
        <v>140000</v>
      </c>
      <c r="E43" s="27" t="s">
        <v>24</v>
      </c>
      <c r="F43" s="275">
        <v>4.6399999999999997</v>
      </c>
      <c r="G43" s="94"/>
    </row>
    <row r="44" spans="2:7" x14ac:dyDescent="0.35">
      <c r="B44" s="74" t="s">
        <v>200</v>
      </c>
      <c r="C44" s="101"/>
      <c r="D44" s="277">
        <v>140000</v>
      </c>
      <c r="E44" s="27" t="s">
        <v>24</v>
      </c>
      <c r="F44" s="275">
        <v>4.6399999999999997</v>
      </c>
      <c r="G44" s="94"/>
    </row>
    <row r="45" spans="2:7" x14ac:dyDescent="0.35">
      <c r="B45" s="74" t="s">
        <v>201</v>
      </c>
      <c r="C45" s="101"/>
      <c r="D45" s="277">
        <v>140000</v>
      </c>
      <c r="E45" s="27" t="s">
        <v>24</v>
      </c>
      <c r="F45" s="275">
        <v>4.6399999999999997</v>
      </c>
      <c r="G45" s="94"/>
    </row>
    <row r="46" spans="2:7" x14ac:dyDescent="0.35">
      <c r="B46" s="74" t="s">
        <v>202</v>
      </c>
      <c r="C46" s="101"/>
      <c r="D46" s="277">
        <v>140000</v>
      </c>
      <c r="E46" s="27" t="s">
        <v>24</v>
      </c>
      <c r="F46" s="275">
        <v>4.6399999999999997</v>
      </c>
      <c r="G46" s="94"/>
    </row>
    <row r="47" spans="2:7" x14ac:dyDescent="0.35">
      <c r="B47" s="74" t="s">
        <v>203</v>
      </c>
      <c r="C47" s="101"/>
      <c r="D47" s="277">
        <v>140000</v>
      </c>
      <c r="E47" s="27" t="s">
        <v>24</v>
      </c>
      <c r="F47" s="275">
        <v>4.6399999999999997</v>
      </c>
      <c r="G47" s="94"/>
    </row>
    <row r="48" spans="2:7" x14ac:dyDescent="0.35">
      <c r="B48" s="74" t="s">
        <v>25</v>
      </c>
      <c r="C48" s="101">
        <v>4012</v>
      </c>
      <c r="D48" s="277">
        <v>235000</v>
      </c>
      <c r="E48" s="27" t="s">
        <v>24</v>
      </c>
      <c r="F48" s="275">
        <v>4.6399999999999997</v>
      </c>
      <c r="G48" s="94"/>
    </row>
    <row r="49" spans="2:12" x14ac:dyDescent="0.35">
      <c r="B49" s="74" t="s">
        <v>26</v>
      </c>
      <c r="C49" s="101">
        <v>4013</v>
      </c>
      <c r="D49" s="277">
        <v>235000</v>
      </c>
      <c r="E49" s="27" t="s">
        <v>24</v>
      </c>
      <c r="F49" s="275">
        <v>4.6399999999999997</v>
      </c>
      <c r="G49" s="94"/>
    </row>
    <row r="50" spans="2:12" x14ac:dyDescent="0.35">
      <c r="B50" s="74" t="s">
        <v>27</v>
      </c>
      <c r="C50" s="101">
        <v>4014</v>
      </c>
      <c r="D50" s="277">
        <v>235000</v>
      </c>
      <c r="E50" s="27" t="s">
        <v>24</v>
      </c>
      <c r="F50" s="275">
        <v>4.6399999999999997</v>
      </c>
      <c r="G50" s="94"/>
    </row>
    <row r="51" spans="2:12" x14ac:dyDescent="0.35">
      <c r="B51" s="74" t="s">
        <v>28</v>
      </c>
      <c r="C51" s="27">
        <v>0</v>
      </c>
      <c r="D51" s="277">
        <v>235000</v>
      </c>
      <c r="E51" s="27" t="s">
        <v>24</v>
      </c>
      <c r="F51" s="275">
        <v>4.6399999999999997</v>
      </c>
      <c r="G51" s="94"/>
    </row>
    <row r="52" spans="2:12" x14ac:dyDescent="0.35">
      <c r="B52" s="74" t="s">
        <v>29</v>
      </c>
      <c r="C52" s="27">
        <v>0</v>
      </c>
      <c r="D52" s="277">
        <v>235000</v>
      </c>
      <c r="E52" s="27" t="s">
        <v>24</v>
      </c>
      <c r="F52" s="275">
        <v>4.6399999999999997</v>
      </c>
      <c r="G52" s="94"/>
    </row>
    <row r="53" spans="2:12" ht="15" thickBot="1" x14ac:dyDescent="0.4">
      <c r="B53" s="75" t="s">
        <v>30</v>
      </c>
      <c r="C53" s="67">
        <v>0</v>
      </c>
      <c r="D53" s="277">
        <v>235000</v>
      </c>
      <c r="E53" s="67" t="s">
        <v>24</v>
      </c>
      <c r="F53" s="275">
        <v>4.6399999999999997</v>
      </c>
      <c r="G53" s="95"/>
    </row>
    <row r="54" spans="2:12" x14ac:dyDescent="0.35">
      <c r="B54" s="34"/>
      <c r="C54" s="47"/>
      <c r="D54" s="73"/>
      <c r="E54" s="47"/>
      <c r="F54" s="47"/>
      <c r="G54"/>
    </row>
    <row r="55" spans="2:12" ht="15" thickBot="1" x14ac:dyDescent="0.4">
      <c r="F55"/>
      <c r="G55"/>
    </row>
    <row r="56" spans="2:12" x14ac:dyDescent="0.35">
      <c r="B56" s="61" t="s">
        <v>31</v>
      </c>
      <c r="C56" s="62" t="s">
        <v>9</v>
      </c>
      <c r="D56" s="63" t="s">
        <v>5</v>
      </c>
      <c r="E56" s="63" t="s">
        <v>10</v>
      </c>
      <c r="F56" s="63" t="s">
        <v>168</v>
      </c>
      <c r="G56" s="79"/>
      <c r="H56" s="64" t="s">
        <v>32</v>
      </c>
    </row>
    <row r="57" spans="2:12" x14ac:dyDescent="0.35">
      <c r="B57" s="80" t="s">
        <v>33</v>
      </c>
      <c r="C57" s="31">
        <v>7940</v>
      </c>
      <c r="D57" s="277">
        <f>D28</f>
        <v>481740</v>
      </c>
      <c r="E57" s="141" t="s">
        <v>177</v>
      </c>
      <c r="F57" s="141">
        <v>22.2</v>
      </c>
      <c r="G57" s="49" t="s">
        <v>34</v>
      </c>
      <c r="H57" s="147">
        <v>2</v>
      </c>
      <c r="L57" s="11"/>
    </row>
    <row r="58" spans="2:12" ht="25" x14ac:dyDescent="0.35">
      <c r="B58" s="80" t="s">
        <v>39</v>
      </c>
      <c r="C58" s="31">
        <v>7899</v>
      </c>
      <c r="D58" s="277">
        <v>2575000</v>
      </c>
      <c r="E58" s="141" t="s">
        <v>56</v>
      </c>
      <c r="F58" s="141">
        <v>27</v>
      </c>
      <c r="G58" s="49" t="s">
        <v>35</v>
      </c>
      <c r="H58" s="147">
        <v>1</v>
      </c>
    </row>
    <row r="59" spans="2:12" ht="25" x14ac:dyDescent="0.35">
      <c r="B59" s="80" t="s">
        <v>40</v>
      </c>
      <c r="C59" s="31">
        <v>7899</v>
      </c>
      <c r="D59" s="277">
        <v>2575000</v>
      </c>
      <c r="E59" s="141" t="s">
        <v>56</v>
      </c>
      <c r="F59" s="141">
        <v>21.4</v>
      </c>
      <c r="G59" s="49"/>
      <c r="H59" s="147">
        <v>1</v>
      </c>
    </row>
    <row r="60" spans="2:12" ht="25" x14ac:dyDescent="0.35">
      <c r="B60" s="80" t="s">
        <v>41</v>
      </c>
      <c r="C60" s="31">
        <v>4015</v>
      </c>
      <c r="D60" s="277">
        <v>425000</v>
      </c>
      <c r="E60" s="141" t="s">
        <v>60</v>
      </c>
      <c r="F60" s="141">
        <v>11.1</v>
      </c>
      <c r="G60" s="49" t="s">
        <v>36</v>
      </c>
      <c r="H60" s="147">
        <v>1</v>
      </c>
    </row>
    <row r="61" spans="2:12" x14ac:dyDescent="0.35">
      <c r="B61" s="80" t="s">
        <v>197</v>
      </c>
      <c r="C61" s="31">
        <v>4531</v>
      </c>
      <c r="D61" s="277">
        <v>1450000</v>
      </c>
      <c r="E61" s="141" t="s">
        <v>37</v>
      </c>
      <c r="F61" s="141">
        <v>22.2</v>
      </c>
      <c r="G61" s="49" t="s">
        <v>38</v>
      </c>
      <c r="H61" s="147">
        <v>0</v>
      </c>
    </row>
    <row r="62" spans="2:12" x14ac:dyDescent="0.35">
      <c r="B62" s="80" t="s">
        <v>52</v>
      </c>
      <c r="C62" s="31">
        <v>7431</v>
      </c>
      <c r="D62" s="277">
        <v>1400000</v>
      </c>
      <c r="E62" s="141" t="s">
        <v>37</v>
      </c>
      <c r="F62" s="141">
        <v>27.87</v>
      </c>
      <c r="G62" s="49"/>
      <c r="H62" s="147">
        <v>0</v>
      </c>
    </row>
    <row r="63" spans="2:12" x14ac:dyDescent="0.35">
      <c r="B63" s="173" t="s">
        <v>132</v>
      </c>
      <c r="C63" s="174"/>
      <c r="D63" s="175">
        <v>975000</v>
      </c>
      <c r="E63" s="176" t="s">
        <v>133</v>
      </c>
      <c r="F63" s="176">
        <v>37.1</v>
      </c>
      <c r="G63" s="177"/>
      <c r="H63" s="147"/>
    </row>
    <row r="64" spans="2:12" ht="15" thickBot="1" x14ac:dyDescent="0.4">
      <c r="B64" s="81"/>
      <c r="C64" s="67"/>
      <c r="D64" s="82"/>
      <c r="E64" s="142"/>
      <c r="F64" s="142"/>
      <c r="G64" s="83"/>
      <c r="H64" s="148"/>
    </row>
    <row r="65" spans="2:14" x14ac:dyDescent="0.35">
      <c r="B65" s="76"/>
      <c r="C65" s="47"/>
      <c r="D65" s="77"/>
      <c r="E65" s="41"/>
      <c r="F65" s="41"/>
      <c r="G65" s="78"/>
      <c r="H65" s="47"/>
    </row>
    <row r="66" spans="2:14" ht="15" thickBot="1" x14ac:dyDescent="0.4"/>
    <row r="67" spans="2:14" x14ac:dyDescent="0.35">
      <c r="B67" s="61" t="s">
        <v>173</v>
      </c>
      <c r="C67" s="62" t="s">
        <v>9</v>
      </c>
      <c r="D67" s="63" t="s">
        <v>5</v>
      </c>
      <c r="E67" s="146" t="s">
        <v>174</v>
      </c>
    </row>
    <row r="68" spans="2:14" x14ac:dyDescent="0.35">
      <c r="B68" s="74" t="s">
        <v>42</v>
      </c>
      <c r="C68" s="31">
        <v>7429</v>
      </c>
      <c r="D68" s="277">
        <v>735000</v>
      </c>
      <c r="E68" s="147">
        <v>10.199999999999999</v>
      </c>
    </row>
    <row r="69" spans="2:14" x14ac:dyDescent="0.35">
      <c r="B69" s="74" t="s">
        <v>43</v>
      </c>
      <c r="C69" s="31">
        <v>7430</v>
      </c>
      <c r="D69" s="277">
        <v>735000</v>
      </c>
      <c r="E69" s="147">
        <v>10.199999999999999</v>
      </c>
    </row>
    <row r="70" spans="2:14" x14ac:dyDescent="0.35">
      <c r="B70" s="74" t="s">
        <v>44</v>
      </c>
      <c r="C70" s="31"/>
      <c r="D70" s="277">
        <v>735000</v>
      </c>
      <c r="E70" s="147">
        <v>10.199999999999999</v>
      </c>
    </row>
    <row r="71" spans="2:14" x14ac:dyDescent="0.35">
      <c r="B71" s="74" t="s">
        <v>45</v>
      </c>
      <c r="C71" s="31"/>
      <c r="D71" s="277">
        <v>735000</v>
      </c>
      <c r="E71" s="147">
        <v>10.199999999999999</v>
      </c>
    </row>
    <row r="72" spans="2:14" x14ac:dyDescent="0.35">
      <c r="B72" s="74" t="s">
        <v>46</v>
      </c>
      <c r="C72" s="31"/>
      <c r="D72" s="277">
        <v>735000</v>
      </c>
      <c r="E72" s="147">
        <v>10.199999999999999</v>
      </c>
    </row>
    <row r="73" spans="2:14" x14ac:dyDescent="0.35">
      <c r="B73" s="74" t="s">
        <v>47</v>
      </c>
      <c r="C73" s="31"/>
      <c r="D73" s="277">
        <v>735000</v>
      </c>
      <c r="E73" s="147">
        <v>10.199999999999999</v>
      </c>
    </row>
    <row r="74" spans="2:14" x14ac:dyDescent="0.35">
      <c r="B74" s="74" t="s">
        <v>48</v>
      </c>
      <c r="C74" s="31"/>
      <c r="D74" s="277">
        <v>735000</v>
      </c>
      <c r="E74" s="147">
        <v>10.199999999999999</v>
      </c>
    </row>
    <row r="75" spans="2:14" ht="15" thickBot="1" x14ac:dyDescent="0.4">
      <c r="B75" s="75" t="s">
        <v>49</v>
      </c>
      <c r="C75" s="42"/>
      <c r="D75" s="277">
        <v>735000</v>
      </c>
      <c r="E75" s="147">
        <v>10.199999999999999</v>
      </c>
    </row>
    <row r="76" spans="2:14" x14ac:dyDescent="0.35">
      <c r="B76" s="34"/>
      <c r="C76" s="29"/>
      <c r="D76" s="30"/>
      <c r="E76" s="41"/>
    </row>
    <row r="77" spans="2:14" ht="15" thickBot="1" x14ac:dyDescent="0.4">
      <c r="B77" s="11"/>
    </row>
    <row r="78" spans="2:14" ht="25" x14ac:dyDescent="0.35">
      <c r="B78" s="198" t="s">
        <v>59</v>
      </c>
      <c r="C78" s="186" t="s">
        <v>51</v>
      </c>
      <c r="D78" s="186" t="s">
        <v>169</v>
      </c>
      <c r="E78" s="186" t="s">
        <v>58</v>
      </c>
      <c r="F78" s="186" t="s">
        <v>94</v>
      </c>
      <c r="G78" s="186" t="s">
        <v>57</v>
      </c>
      <c r="H78" s="186" t="s">
        <v>70</v>
      </c>
      <c r="I78" s="186" t="s">
        <v>100</v>
      </c>
      <c r="J78" s="186" t="s">
        <v>136</v>
      </c>
      <c r="K78" s="63" t="s">
        <v>139</v>
      </c>
      <c r="L78" s="190" t="s">
        <v>149</v>
      </c>
      <c r="N78" s="84"/>
    </row>
    <row r="79" spans="2:14" ht="47" customHeight="1" x14ac:dyDescent="0.35">
      <c r="B79" s="184" t="s">
        <v>129</v>
      </c>
      <c r="C79" s="185" t="s">
        <v>131</v>
      </c>
      <c r="D79" s="188">
        <v>2.52</v>
      </c>
      <c r="E79" s="141" t="s">
        <v>178</v>
      </c>
      <c r="F79" s="100" t="s">
        <v>179</v>
      </c>
      <c r="G79" s="31" t="s">
        <v>130</v>
      </c>
      <c r="H79" s="278">
        <v>246305</v>
      </c>
      <c r="I79" s="141" t="s">
        <v>180</v>
      </c>
      <c r="J79" s="27" t="s">
        <v>17</v>
      </c>
      <c r="K79" s="31" t="s">
        <v>166</v>
      </c>
      <c r="L79" s="187">
        <v>1</v>
      </c>
      <c r="N79" s="30"/>
    </row>
    <row r="80" spans="2:14" ht="32.5" customHeight="1" x14ac:dyDescent="0.35">
      <c r="B80" s="45" t="s">
        <v>71</v>
      </c>
      <c r="C80" s="185" t="s">
        <v>68</v>
      </c>
      <c r="D80" s="188">
        <v>2.4</v>
      </c>
      <c r="E80" s="141" t="s">
        <v>181</v>
      </c>
      <c r="F80" s="100" t="s">
        <v>182</v>
      </c>
      <c r="G80" s="32" t="s">
        <v>69</v>
      </c>
      <c r="H80" s="279">
        <v>198975</v>
      </c>
      <c r="I80" s="195" t="s">
        <v>183</v>
      </c>
      <c r="J80" s="27" t="s">
        <v>137</v>
      </c>
      <c r="K80" s="31" t="s">
        <v>141</v>
      </c>
      <c r="L80" s="187">
        <v>0</v>
      </c>
      <c r="N80" s="30"/>
    </row>
    <row r="81" spans="1:18" ht="31" customHeight="1" x14ac:dyDescent="0.35">
      <c r="B81" s="45" t="s">
        <v>72</v>
      </c>
      <c r="C81" s="185" t="s">
        <v>68</v>
      </c>
      <c r="D81" s="188">
        <v>2.06</v>
      </c>
      <c r="E81" s="141" t="s">
        <v>181</v>
      </c>
      <c r="F81" s="100" t="s">
        <v>182</v>
      </c>
      <c r="G81" s="32" t="s">
        <v>69</v>
      </c>
      <c r="H81" s="279">
        <v>198975</v>
      </c>
      <c r="I81" s="195" t="s">
        <v>183</v>
      </c>
      <c r="J81" s="27" t="s">
        <v>137</v>
      </c>
      <c r="K81" s="31" t="s">
        <v>142</v>
      </c>
      <c r="L81" s="187">
        <v>0</v>
      </c>
      <c r="N81" s="30"/>
    </row>
    <row r="82" spans="1:18" ht="31.5" customHeight="1" x14ac:dyDescent="0.35">
      <c r="B82" s="45" t="s">
        <v>73</v>
      </c>
      <c r="C82" s="185" t="s">
        <v>68</v>
      </c>
      <c r="D82" s="188">
        <v>1.8</v>
      </c>
      <c r="E82" s="141" t="s">
        <v>181</v>
      </c>
      <c r="F82" s="100" t="s">
        <v>182</v>
      </c>
      <c r="G82" s="32" t="s">
        <v>69</v>
      </c>
      <c r="H82" s="279">
        <v>198975</v>
      </c>
      <c r="I82" s="195" t="s">
        <v>183</v>
      </c>
      <c r="J82" s="27" t="s">
        <v>137</v>
      </c>
      <c r="K82" s="31" t="s">
        <v>143</v>
      </c>
      <c r="L82" s="187">
        <v>0</v>
      </c>
      <c r="N82" s="30"/>
    </row>
    <row r="83" spans="1:18" ht="34" customHeight="1" thickBot="1" x14ac:dyDescent="0.4">
      <c r="A83" s="96"/>
      <c r="B83" s="191" t="s">
        <v>75</v>
      </c>
      <c r="C83" s="192" t="s">
        <v>68</v>
      </c>
      <c r="D83" s="193">
        <v>1.6</v>
      </c>
      <c r="E83" s="142" t="s">
        <v>181</v>
      </c>
      <c r="F83" s="102" t="s">
        <v>182</v>
      </c>
      <c r="G83" s="82" t="s">
        <v>69</v>
      </c>
      <c r="H83" s="279">
        <v>198975</v>
      </c>
      <c r="I83" s="197" t="s">
        <v>183</v>
      </c>
      <c r="J83" s="67" t="s">
        <v>137</v>
      </c>
      <c r="K83" s="42" t="s">
        <v>144</v>
      </c>
      <c r="L83" s="194">
        <v>0</v>
      </c>
      <c r="N83" s="30"/>
    </row>
    <row r="84" spans="1:18" s="10" customFormat="1" ht="15" thickBot="1" x14ac:dyDescent="0.4">
      <c r="A84" s="46"/>
      <c r="B84" s="29"/>
      <c r="C84" s="41"/>
      <c r="D84" s="41"/>
      <c r="E84" s="41"/>
      <c r="F84" s="41"/>
      <c r="G84" s="44"/>
      <c r="H84" s="29"/>
      <c r="I84" s="11"/>
      <c r="J84" s="11"/>
      <c r="K84" s="11"/>
      <c r="L84" s="11"/>
      <c r="M84" s="11"/>
      <c r="N84" s="11"/>
      <c r="O84"/>
      <c r="P84"/>
      <c r="Q84"/>
      <c r="R84"/>
    </row>
    <row r="85" spans="1:18" s="10" customFormat="1" x14ac:dyDescent="0.35">
      <c r="A85" s="46"/>
      <c r="B85" s="196" t="s">
        <v>62</v>
      </c>
      <c r="C85" s="186" t="s">
        <v>51</v>
      </c>
      <c r="D85" s="186" t="s">
        <v>50</v>
      </c>
      <c r="E85" s="186" t="s">
        <v>58</v>
      </c>
      <c r="F85" s="186" t="s">
        <v>94</v>
      </c>
      <c r="G85" s="186" t="s">
        <v>57</v>
      </c>
      <c r="H85" s="186" t="s">
        <v>70</v>
      </c>
      <c r="I85" s="186" t="s">
        <v>99</v>
      </c>
      <c r="J85" s="186" t="s">
        <v>136</v>
      </c>
      <c r="K85" s="63" t="s">
        <v>139</v>
      </c>
      <c r="L85" s="190" t="s">
        <v>149</v>
      </c>
      <c r="M85" s="11"/>
      <c r="N85" s="11"/>
      <c r="O85"/>
      <c r="P85"/>
      <c r="Q85"/>
      <c r="R85"/>
    </row>
    <row r="86" spans="1:18" s="10" customFormat="1" ht="29" x14ac:dyDescent="0.35">
      <c r="A86" s="46"/>
      <c r="B86" s="172" t="s">
        <v>91</v>
      </c>
      <c r="C86" s="185" t="s">
        <v>95</v>
      </c>
      <c r="D86" s="188">
        <v>7.8</v>
      </c>
      <c r="E86" s="141" t="s">
        <v>184</v>
      </c>
      <c r="F86" s="100" t="s">
        <v>185</v>
      </c>
      <c r="G86" s="31" t="s">
        <v>92</v>
      </c>
      <c r="H86" s="278">
        <v>362775</v>
      </c>
      <c r="I86" s="141" t="s">
        <v>186</v>
      </c>
      <c r="J86" s="27" t="s">
        <v>17</v>
      </c>
      <c r="K86" s="31" t="s">
        <v>146</v>
      </c>
      <c r="L86" s="94"/>
      <c r="M86" s="11"/>
      <c r="N86" s="11"/>
      <c r="O86"/>
      <c r="P86"/>
      <c r="Q86"/>
      <c r="R86"/>
    </row>
    <row r="87" spans="1:18" s="10" customFormat="1" ht="29" x14ac:dyDescent="0.35">
      <c r="A87" s="46"/>
      <c r="B87" s="45" t="s">
        <v>90</v>
      </c>
      <c r="C87" s="185" t="s">
        <v>95</v>
      </c>
      <c r="D87" s="188">
        <v>5.2</v>
      </c>
      <c r="E87" s="141" t="s">
        <v>184</v>
      </c>
      <c r="F87" s="100" t="s">
        <v>185</v>
      </c>
      <c r="G87" s="31" t="s">
        <v>92</v>
      </c>
      <c r="H87" s="278">
        <v>362775</v>
      </c>
      <c r="I87" s="141" t="s">
        <v>186</v>
      </c>
      <c r="J87" s="27" t="s">
        <v>17</v>
      </c>
      <c r="K87" s="31" t="s">
        <v>145</v>
      </c>
      <c r="L87" s="187">
        <v>1</v>
      </c>
      <c r="M87" s="11"/>
      <c r="N87" s="11"/>
      <c r="O87"/>
      <c r="P87"/>
      <c r="Q87"/>
      <c r="R87"/>
    </row>
    <row r="88" spans="1:18" s="10" customFormat="1" ht="29" x14ac:dyDescent="0.35">
      <c r="A88" s="46"/>
      <c r="B88" s="172" t="s">
        <v>88</v>
      </c>
      <c r="C88" s="185" t="s">
        <v>96</v>
      </c>
      <c r="D88" s="188">
        <v>4.1900000000000004</v>
      </c>
      <c r="E88" s="141" t="s">
        <v>178</v>
      </c>
      <c r="F88" s="100" t="s">
        <v>187</v>
      </c>
      <c r="G88" s="31" t="s">
        <v>93</v>
      </c>
      <c r="H88" s="278">
        <v>310275</v>
      </c>
      <c r="I88" s="141" t="s">
        <v>188</v>
      </c>
      <c r="J88" s="27" t="s">
        <v>17</v>
      </c>
      <c r="K88" s="31" t="s">
        <v>147</v>
      </c>
      <c r="L88" s="187">
        <v>0</v>
      </c>
      <c r="O88"/>
      <c r="P88"/>
      <c r="Q88"/>
      <c r="R88"/>
    </row>
    <row r="89" spans="1:18" ht="31" customHeight="1" x14ac:dyDescent="0.35">
      <c r="B89" s="172" t="s">
        <v>89</v>
      </c>
      <c r="C89" s="185" t="s">
        <v>131</v>
      </c>
      <c r="D89" s="188">
        <v>3.15</v>
      </c>
      <c r="E89" s="141" t="s">
        <v>189</v>
      </c>
      <c r="F89" s="100" t="s">
        <v>179</v>
      </c>
      <c r="G89" s="31" t="s">
        <v>130</v>
      </c>
      <c r="H89" s="278">
        <v>246305</v>
      </c>
      <c r="I89" s="141" t="s">
        <v>180</v>
      </c>
      <c r="J89" s="27" t="s">
        <v>17</v>
      </c>
      <c r="K89" s="31" t="s">
        <v>148</v>
      </c>
      <c r="L89" s="187">
        <v>0</v>
      </c>
    </row>
    <row r="90" spans="1:18" ht="28.5" customHeight="1" thickBot="1" x14ac:dyDescent="0.4">
      <c r="B90" s="191" t="s">
        <v>74</v>
      </c>
      <c r="C90" s="192" t="s">
        <v>68</v>
      </c>
      <c r="D90" s="193">
        <v>2.88</v>
      </c>
      <c r="E90" s="142" t="s">
        <v>181</v>
      </c>
      <c r="F90" s="102" t="s">
        <v>182</v>
      </c>
      <c r="G90" s="82" t="s">
        <v>69</v>
      </c>
      <c r="H90" s="280">
        <f>H83</f>
        <v>198975</v>
      </c>
      <c r="I90" s="197" t="s">
        <v>183</v>
      </c>
      <c r="J90" s="67" t="s">
        <v>137</v>
      </c>
      <c r="K90" s="42" t="s">
        <v>140</v>
      </c>
      <c r="L90" s="194">
        <v>0</v>
      </c>
    </row>
    <row r="92" spans="1:18" ht="25" customHeight="1" thickBot="1" x14ac:dyDescent="0.4">
      <c r="B92" s="281" t="s">
        <v>227</v>
      </c>
      <c r="C92" s="27" t="s">
        <v>228</v>
      </c>
      <c r="D92" s="27"/>
      <c r="E92" s="141" t="s">
        <v>229</v>
      </c>
      <c r="F92" s="27"/>
      <c r="G92" s="27"/>
      <c r="H92" s="280">
        <v>95025</v>
      </c>
    </row>
    <row r="93" spans="1:18" ht="25" customHeight="1" x14ac:dyDescent="0.35"/>
  </sheetData>
  <sheetProtection algorithmName="SHA-512" hashValue="L25/1jHvA+NtIuSMYrQpj3Agee0jY/hlAIOeiOu/cWYod0ARD1BogVeB/qfi9eglZLianHkOcGOXb0huv/55UA==" saltValue="o6017TXaJNybovh5ZVME3g==" spinCount="100000" sheet="1" objects="1" scenarios="1"/>
  <phoneticPr fontId="2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pageSetUpPr fitToPage="1"/>
  </sheetPr>
  <dimension ref="A1:P60"/>
  <sheetViews>
    <sheetView showGridLines="0" view="pageBreakPreview" zoomScale="60" zoomScaleNormal="50" zoomScalePageLayoutView="80" workbookViewId="0">
      <selection activeCell="C6" sqref="C6"/>
    </sheetView>
  </sheetViews>
  <sheetFormatPr baseColWidth="10" defaultColWidth="11.453125" defaultRowHeight="13.5" x14ac:dyDescent="0.25"/>
  <cols>
    <col min="1" max="1" width="3.54296875" style="1" customWidth="1"/>
    <col min="2" max="2" width="15.90625" style="1" customWidth="1"/>
    <col min="3" max="3" width="24.1796875" style="1" customWidth="1"/>
    <col min="4" max="4" width="38" style="1" customWidth="1"/>
    <col min="5" max="5" width="12.81640625" style="43" customWidth="1"/>
    <col min="6" max="6" width="23.54296875" style="43" customWidth="1"/>
    <col min="7" max="7" width="14.81640625" style="43" customWidth="1"/>
    <col min="8" max="8" width="5.36328125" style="43" customWidth="1"/>
    <col min="9" max="9" width="8.453125" style="1" customWidth="1"/>
    <col min="10" max="10" width="9.1796875" style="1" customWidth="1"/>
    <col min="11" max="11" width="26.08984375" style="43" customWidth="1"/>
    <col min="12" max="12" width="26.36328125" style="1" customWidth="1"/>
    <col min="13" max="13" width="12.54296875" style="1" customWidth="1"/>
    <col min="14" max="14" width="23.6328125" style="1" customWidth="1"/>
    <col min="15" max="15" width="20.90625" style="1" customWidth="1"/>
    <col min="16" max="16" width="13.453125" style="1" bestFit="1" customWidth="1"/>
    <col min="17" max="16384" width="11.453125" style="1"/>
  </cols>
  <sheetData>
    <row r="1" spans="1:15" ht="103.5" customHeight="1" x14ac:dyDescent="0.25">
      <c r="A1" s="160"/>
      <c r="B1" s="153"/>
      <c r="C1" s="154"/>
      <c r="D1" s="85"/>
      <c r="E1" s="59"/>
      <c r="F1" s="59"/>
      <c r="G1" s="59"/>
      <c r="H1" s="59"/>
      <c r="I1" s="85"/>
      <c r="J1" s="85"/>
      <c r="K1" s="59"/>
      <c r="L1" s="85"/>
      <c r="M1" s="87"/>
      <c r="N1" s="39"/>
      <c r="O1" s="182">
        <v>1</v>
      </c>
    </row>
    <row r="2" spans="1:15" ht="36" customHeight="1" x14ac:dyDescent="0.25">
      <c r="A2" s="21"/>
      <c r="B2" s="20"/>
      <c r="C2" s="4"/>
      <c r="D2" s="88"/>
      <c r="E2" s="5" t="s">
        <v>6</v>
      </c>
      <c r="F2" s="5"/>
      <c r="G2" s="5"/>
      <c r="H2" s="5"/>
      <c r="I2" s="5"/>
      <c r="J2" s="5"/>
      <c r="K2" s="5"/>
      <c r="L2" s="5"/>
      <c r="M2" s="26"/>
      <c r="N2" s="40"/>
      <c r="O2" s="182">
        <v>2</v>
      </c>
    </row>
    <row r="3" spans="1:15" ht="55" customHeight="1" x14ac:dyDescent="0.25">
      <c r="A3" s="21"/>
      <c r="B3" s="20"/>
      <c r="C3" s="4"/>
      <c r="D3" s="88"/>
      <c r="E3" s="5"/>
      <c r="F3" s="5"/>
      <c r="G3" s="5"/>
      <c r="H3" s="5"/>
      <c r="I3" s="5"/>
      <c r="J3" s="5"/>
      <c r="K3" s="5"/>
      <c r="L3" s="5"/>
      <c r="M3" s="26"/>
      <c r="N3" s="40"/>
      <c r="O3" s="182">
        <v>3</v>
      </c>
    </row>
    <row r="4" spans="1:15" ht="34.5" customHeight="1" x14ac:dyDescent="0.25">
      <c r="A4" s="21"/>
      <c r="B4" s="20"/>
      <c r="C4" s="4"/>
      <c r="D4" s="88"/>
      <c r="E4" s="5"/>
      <c r="F4" s="5"/>
      <c r="G4" s="5"/>
      <c r="H4" s="5"/>
      <c r="I4" s="5"/>
      <c r="J4" s="5"/>
      <c r="K4" s="5"/>
      <c r="L4" s="5"/>
      <c r="M4" s="26"/>
      <c r="N4" s="40"/>
      <c r="O4" s="182">
        <v>4</v>
      </c>
    </row>
    <row r="5" spans="1:15" ht="40" customHeight="1" x14ac:dyDescent="0.25">
      <c r="A5" s="21"/>
      <c r="B5" s="20"/>
      <c r="C5" s="4"/>
      <c r="D5" s="88"/>
      <c r="E5" s="5"/>
      <c r="F5" s="5"/>
      <c r="G5" s="5"/>
      <c r="H5" s="5"/>
      <c r="I5" s="5"/>
      <c r="J5" s="5"/>
      <c r="K5" s="5"/>
      <c r="L5" s="5"/>
      <c r="M5" s="26"/>
      <c r="N5" s="40"/>
      <c r="O5" s="182"/>
    </row>
    <row r="6" spans="1:15" ht="17.5" x14ac:dyDescent="0.25">
      <c r="A6" s="21"/>
      <c r="B6" s="159"/>
      <c r="C6" s="152"/>
      <c r="D6" s="18"/>
      <c r="E6" s="5"/>
      <c r="F6" s="5"/>
      <c r="G6" s="199"/>
      <c r="H6" s="231"/>
      <c r="I6" s="7"/>
      <c r="J6" s="5"/>
      <c r="K6" s="199"/>
      <c r="L6" s="4"/>
      <c r="M6" s="50"/>
      <c r="N6" s="4"/>
      <c r="O6" s="182">
        <v>9</v>
      </c>
    </row>
    <row r="7" spans="1:15" ht="17.5" customHeight="1" x14ac:dyDescent="0.25">
      <c r="A7" s="21"/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50"/>
      <c r="N7" s="4"/>
      <c r="O7" s="182">
        <v>10</v>
      </c>
    </row>
    <row r="8" spans="1:15" ht="18" thickBot="1" x14ac:dyDescent="0.3">
      <c r="A8" s="21"/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50"/>
      <c r="N8" s="4"/>
      <c r="O8" s="182"/>
    </row>
    <row r="9" spans="1:15" ht="17.5" x14ac:dyDescent="0.25">
      <c r="A9" s="21"/>
      <c r="B9" s="20"/>
      <c r="C9" s="376" t="s">
        <v>135</v>
      </c>
      <c r="D9" s="377"/>
      <c r="E9" s="4"/>
      <c r="F9" s="4"/>
      <c r="G9" s="4"/>
      <c r="H9" s="4"/>
      <c r="I9" s="4"/>
      <c r="J9" s="4"/>
      <c r="K9" s="4"/>
      <c r="L9" s="4"/>
      <c r="M9" s="50"/>
      <c r="N9" s="4"/>
      <c r="O9" s="182"/>
    </row>
    <row r="10" spans="1:15" ht="17.5" customHeight="1" x14ac:dyDescent="0.25">
      <c r="A10" s="21"/>
      <c r="B10" s="20"/>
      <c r="C10" s="378"/>
      <c r="D10" s="379"/>
      <c r="E10" s="4"/>
      <c r="F10" s="4"/>
      <c r="G10" s="4"/>
      <c r="H10" s="4"/>
      <c r="I10" s="4"/>
      <c r="J10" s="4"/>
      <c r="K10" s="4"/>
      <c r="L10" s="4"/>
      <c r="M10" s="50"/>
      <c r="N10" s="4"/>
      <c r="O10" s="182"/>
    </row>
    <row r="11" spans="1:15" ht="25" customHeight="1" x14ac:dyDescent="0.25">
      <c r="A11" s="21"/>
      <c r="B11" s="20"/>
      <c r="C11" s="380" t="s">
        <v>59</v>
      </c>
      <c r="D11" s="381"/>
      <c r="E11" s="4"/>
      <c r="F11" s="4"/>
      <c r="G11" s="4"/>
      <c r="H11" s="4"/>
      <c r="I11" s="4"/>
      <c r="J11" s="4"/>
      <c r="K11" s="4"/>
      <c r="L11" s="4"/>
      <c r="M11" s="50"/>
      <c r="N11" s="4"/>
      <c r="O11" s="182"/>
    </row>
    <row r="12" spans="1:15" ht="17.5" customHeight="1" thickBot="1" x14ac:dyDescent="0.3">
      <c r="A12" s="21"/>
      <c r="B12" s="20"/>
      <c r="C12" s="382" t="s">
        <v>217</v>
      </c>
      <c r="D12" s="383"/>
      <c r="E12" s="4"/>
      <c r="F12" s="4"/>
      <c r="G12" s="4"/>
      <c r="H12" s="4"/>
      <c r="I12" s="4"/>
      <c r="J12" s="4"/>
      <c r="K12" s="4"/>
      <c r="L12" s="4"/>
      <c r="M12" s="50"/>
      <c r="N12" s="4"/>
      <c r="O12" s="182"/>
    </row>
    <row r="13" spans="1:15" ht="28" customHeight="1" thickBot="1" x14ac:dyDescent="0.3">
      <c r="A13" s="21"/>
      <c r="B13" s="20"/>
      <c r="C13" s="384" t="s">
        <v>129</v>
      </c>
      <c r="D13" s="385"/>
      <c r="E13" s="4"/>
      <c r="F13" s="4"/>
      <c r="G13" s="4"/>
      <c r="H13" s="4"/>
      <c r="I13" s="4"/>
      <c r="J13" s="4"/>
      <c r="K13" s="4"/>
      <c r="L13" s="4"/>
      <c r="M13" s="50"/>
      <c r="N13" s="4"/>
      <c r="O13" s="182"/>
    </row>
    <row r="14" spans="1:15" ht="17.5" x14ac:dyDescent="0.25">
      <c r="A14" s="21"/>
      <c r="B14" s="20"/>
      <c r="C14" s="370" t="str">
        <f>VLOOKUP(C13,DATA!B79:K83,10,0)</f>
        <v>Uretano Cemento Autonivelante de acabado liso y mate. Este sistema en 6 mm se obtiene utilizando el Kit Monopur Industry SL 5 mm.  **DEBE SELECCIONAR PRIMER**</v>
      </c>
      <c r="D14" s="371"/>
      <c r="E14" s="4"/>
      <c r="F14" s="4"/>
      <c r="G14" s="4"/>
      <c r="H14" s="4"/>
      <c r="I14" s="4"/>
      <c r="J14" s="4"/>
      <c r="K14" s="4"/>
      <c r="L14" s="4"/>
      <c r="M14" s="50"/>
      <c r="N14" s="4"/>
      <c r="O14" s="48"/>
    </row>
    <row r="15" spans="1:15" ht="17.5" x14ac:dyDescent="0.25">
      <c r="A15" s="21"/>
      <c r="B15" s="20"/>
      <c r="C15" s="372"/>
      <c r="D15" s="373"/>
      <c r="E15" s="4"/>
      <c r="F15" s="4"/>
      <c r="G15" s="4"/>
      <c r="H15" s="4"/>
      <c r="I15" s="4"/>
      <c r="J15" s="4"/>
      <c r="K15" s="4"/>
      <c r="L15" s="4"/>
      <c r="M15" s="50"/>
      <c r="N15" s="4"/>
      <c r="O15" s="48"/>
    </row>
    <row r="16" spans="1:15" ht="17.5" x14ac:dyDescent="0.25">
      <c r="A16" s="21"/>
      <c r="B16" s="20"/>
      <c r="C16" s="372"/>
      <c r="D16" s="373"/>
      <c r="E16" s="4"/>
      <c r="F16" s="4"/>
      <c r="G16" s="4"/>
      <c r="H16" s="4"/>
      <c r="I16" s="4"/>
      <c r="J16" s="4"/>
      <c r="K16" s="4"/>
      <c r="L16" s="4"/>
      <c r="M16" s="50"/>
      <c r="N16" s="4"/>
      <c r="O16" s="48"/>
    </row>
    <row r="17" spans="1:16" ht="18" thickBot="1" x14ac:dyDescent="0.3">
      <c r="A17" s="21"/>
      <c r="B17" s="20"/>
      <c r="C17" s="374"/>
      <c r="D17" s="375"/>
      <c r="E17" s="4"/>
      <c r="F17" s="4"/>
      <c r="G17" s="4"/>
      <c r="H17" s="4"/>
      <c r="I17" s="4"/>
      <c r="J17" s="4"/>
      <c r="K17" s="4"/>
      <c r="L17" s="4"/>
      <c r="M17" s="50"/>
      <c r="N17" s="4"/>
      <c r="O17" s="48"/>
    </row>
    <row r="18" spans="1:16" ht="17.5" x14ac:dyDescent="0.25">
      <c r="A18" s="21"/>
      <c r="B18" s="20"/>
      <c r="C18" s="4"/>
      <c r="D18" s="4"/>
      <c r="E18" s="4"/>
      <c r="F18" s="4"/>
      <c r="G18" s="4"/>
      <c r="H18" s="4"/>
      <c r="I18" s="4"/>
      <c r="J18" s="4"/>
      <c r="K18" s="4"/>
      <c r="L18" s="4"/>
      <c r="M18" s="50"/>
      <c r="N18" s="4"/>
      <c r="O18" s="48"/>
    </row>
    <row r="19" spans="1:16" ht="56.5" customHeight="1" thickBot="1" x14ac:dyDescent="0.3">
      <c r="A19" s="21"/>
      <c r="B19" s="20"/>
      <c r="C19" s="4"/>
      <c r="D19" s="4"/>
      <c r="E19" s="4"/>
      <c r="F19" s="4"/>
      <c r="G19" s="4"/>
      <c r="H19" s="4"/>
      <c r="I19" s="4"/>
      <c r="J19" s="4"/>
      <c r="K19" s="4"/>
      <c r="L19" s="4"/>
      <c r="M19" s="50"/>
      <c r="N19" s="4"/>
      <c r="O19" s="48"/>
    </row>
    <row r="20" spans="1:16" ht="50.5" customHeight="1" thickBot="1" x14ac:dyDescent="0.3">
      <c r="A20" s="21"/>
      <c r="B20" s="21"/>
      <c r="C20" s="179" t="s">
        <v>9</v>
      </c>
      <c r="D20" s="286" t="s">
        <v>0</v>
      </c>
      <c r="E20" s="390" t="s">
        <v>3</v>
      </c>
      <c r="F20" s="390"/>
      <c r="G20" s="390" t="s">
        <v>1</v>
      </c>
      <c r="H20" s="390"/>
      <c r="I20" s="390"/>
      <c r="J20" s="286" t="s">
        <v>7</v>
      </c>
      <c r="K20" s="390" t="s">
        <v>4</v>
      </c>
      <c r="L20" s="392"/>
      <c r="M20" s="50"/>
      <c r="N20" s="4"/>
      <c r="O20" s="48"/>
      <c r="P20" s="182">
        <v>24</v>
      </c>
    </row>
    <row r="21" spans="1:16" ht="14.5" customHeight="1" x14ac:dyDescent="0.25">
      <c r="A21" s="21"/>
      <c r="B21" s="21"/>
      <c r="C21" s="150"/>
      <c r="D21" s="180" t="s">
        <v>15</v>
      </c>
      <c r="E21" s="151"/>
      <c r="F21" s="200"/>
      <c r="G21" s="200"/>
      <c r="H21" s="200"/>
      <c r="I21" s="200"/>
      <c r="J21" s="151"/>
      <c r="K21" s="151"/>
      <c r="L21" s="301"/>
      <c r="M21" s="50"/>
      <c r="N21" s="4"/>
      <c r="O21" s="48"/>
      <c r="P21" s="182">
        <v>25</v>
      </c>
    </row>
    <row r="22" spans="1:16" ht="21.5" customHeight="1" x14ac:dyDescent="0.25">
      <c r="A22" s="21"/>
      <c r="B22" s="21"/>
      <c r="C22" s="171">
        <f>VLOOKUP(D22,DATA!B26:H28,2,0)</f>
        <v>6557</v>
      </c>
      <c r="D22" s="201" t="s">
        <v>66</v>
      </c>
      <c r="E22" s="283">
        <v>1</v>
      </c>
      <c r="F22" s="283" t="str">
        <f>VLOOKUP(D22,DATA!B26:H28,4,0)</f>
        <v>Unidad x 3 kg</v>
      </c>
      <c r="G22" s="283" t="s">
        <v>16</v>
      </c>
      <c r="H22" s="189">
        <f>VLOOKUP(D22,DATA!B26:H28,5,0)</f>
        <v>7.5</v>
      </c>
      <c r="I22" s="283" t="s">
        <v>8</v>
      </c>
      <c r="J22" s="393">
        <v>100</v>
      </c>
      <c r="K22" s="149">
        <f>ROUNDUP(((J22/H22)*1.05),0)</f>
        <v>14</v>
      </c>
      <c r="L22" s="300" t="str">
        <f>F22</f>
        <v>Unidad x 3 kg</v>
      </c>
      <c r="M22" s="50"/>
      <c r="N22" s="4"/>
      <c r="O22" s="48"/>
      <c r="P22" s="182">
        <v>26</v>
      </c>
    </row>
    <row r="23" spans="1:16" ht="21" customHeight="1" x14ac:dyDescent="0.25">
      <c r="A23" s="21"/>
      <c r="B23" s="21"/>
      <c r="C23" s="171">
        <f>VLOOKUP(D23,DATA!B32:F34,2,0)</f>
        <v>2014</v>
      </c>
      <c r="D23" s="15" t="str">
        <f>VLOOKUP(C13,DATA!B79:K83,9,0)</f>
        <v>Eucofiller Medio</v>
      </c>
      <c r="E23" s="283">
        <f>VLOOKUP(D22,DATA!B26:H28,6,0)</f>
        <v>1</v>
      </c>
      <c r="F23" s="283" t="s">
        <v>18</v>
      </c>
      <c r="G23" s="283" t="s">
        <v>19</v>
      </c>
      <c r="H23" s="235">
        <v>200</v>
      </c>
      <c r="I23" s="283" t="s">
        <v>8</v>
      </c>
      <c r="J23" s="394"/>
      <c r="K23" s="149">
        <f>ROUNDUP((((J22/H23)*1.05)*E23),0)</f>
        <v>1</v>
      </c>
      <c r="L23" s="302" t="s">
        <v>13</v>
      </c>
      <c r="M23" s="50"/>
      <c r="N23" s="4"/>
      <c r="O23" s="48"/>
      <c r="P23" s="182">
        <v>27</v>
      </c>
    </row>
    <row r="24" spans="1:16" ht="43.5" customHeight="1" thickBot="1" x14ac:dyDescent="0.3">
      <c r="A24" s="21"/>
      <c r="B24" s="21"/>
      <c r="C24" s="395" t="s">
        <v>193</v>
      </c>
      <c r="D24" s="396"/>
      <c r="E24" s="396"/>
      <c r="F24" s="396"/>
      <c r="G24" s="396"/>
      <c r="H24" s="396"/>
      <c r="I24" s="396"/>
      <c r="J24" s="396"/>
      <c r="K24" s="396"/>
      <c r="L24" s="397"/>
      <c r="M24" s="50"/>
      <c r="N24" s="4"/>
      <c r="O24" s="48"/>
      <c r="P24" s="182">
        <v>28</v>
      </c>
    </row>
    <row r="25" spans="1:16" ht="19.5" customHeight="1" x14ac:dyDescent="0.25">
      <c r="A25" s="21"/>
      <c r="B25" s="21"/>
      <c r="C25" s="150"/>
      <c r="D25" s="364" t="str">
        <f>VLOOKUP(C13,DATA!B79:K83,8,0)</f>
        <v>Monopur Industry SL 5 mm - Kit X 31,5 kg</v>
      </c>
      <c r="E25" s="365"/>
      <c r="F25" s="365"/>
      <c r="G25" s="365"/>
      <c r="H25" s="365"/>
      <c r="I25" s="365"/>
      <c r="J25" s="365"/>
      <c r="K25" s="365"/>
      <c r="L25" s="366"/>
      <c r="M25" s="50"/>
      <c r="N25" s="4"/>
      <c r="O25" s="48"/>
      <c r="P25" s="182">
        <v>29</v>
      </c>
    </row>
    <row r="26" spans="1:16" ht="18.5" customHeight="1" x14ac:dyDescent="0.25">
      <c r="A26" s="21"/>
      <c r="B26" s="21"/>
      <c r="C26" s="389" t="str">
        <f>VLOOKUP(C13,DATA!B79:L83,2,0)</f>
        <v>6616-2</v>
      </c>
      <c r="D26" s="99" t="s">
        <v>76</v>
      </c>
      <c r="E26" s="283">
        <v>1</v>
      </c>
      <c r="F26" s="283" t="str">
        <f>VLOOKUP(C13,DATA!B79:L83,5,0)</f>
        <v>Unidad x 6,5 kg 
(P/A + P/B)</v>
      </c>
      <c r="G26" s="387" t="s">
        <v>2</v>
      </c>
      <c r="H26" s="387">
        <f>VLOOKUP(C13,DATA!B79:L83,3,0)</f>
        <v>2.52</v>
      </c>
      <c r="I26" s="387" t="s">
        <v>8</v>
      </c>
      <c r="J26" s="391">
        <v>100</v>
      </c>
      <c r="K26" s="8">
        <f>ROUNDUP((($J$26/$H$26)*E26)*1.05,0)</f>
        <v>42</v>
      </c>
      <c r="L26" s="303" t="str">
        <f>F26</f>
        <v>Unidad x 6,5 kg 
(P/A + P/B)</v>
      </c>
      <c r="M26" s="50"/>
      <c r="N26" s="4"/>
      <c r="O26" s="48"/>
      <c r="P26" s="182">
        <v>30</v>
      </c>
    </row>
    <row r="27" spans="1:16" ht="19.5" customHeight="1" x14ac:dyDescent="0.25">
      <c r="A27" s="21"/>
      <c r="B27" s="21"/>
      <c r="C27" s="389"/>
      <c r="D27" s="99" t="str">
        <f>VLOOKUP(C13,DATA!B79:L83,6,0)</f>
        <v>Monopur Filler SL 5mm</v>
      </c>
      <c r="E27" s="283">
        <v>1</v>
      </c>
      <c r="F27" s="282" t="str">
        <f>VLOOKUP(C13,DATA!B79:L83,4,0)</f>
        <v>Bolsa x 25 kg</v>
      </c>
      <c r="G27" s="387"/>
      <c r="H27" s="387"/>
      <c r="I27" s="387"/>
      <c r="J27" s="391"/>
      <c r="K27" s="8">
        <f>K26</f>
        <v>42</v>
      </c>
      <c r="L27" s="303" t="str">
        <f>F27</f>
        <v>Bolsa x 25 kg</v>
      </c>
      <c r="M27" s="50"/>
      <c r="N27" s="4"/>
      <c r="O27" s="48"/>
      <c r="P27" s="182">
        <v>1</v>
      </c>
    </row>
    <row r="28" spans="1:16" ht="21.5" customHeight="1" x14ac:dyDescent="0.25">
      <c r="A28" s="21"/>
      <c r="B28" s="21"/>
      <c r="C28" s="171">
        <f>VLOOKUP(D28,DATA!B15:F22,2,0)</f>
        <v>6515</v>
      </c>
      <c r="D28" s="201" t="s">
        <v>206</v>
      </c>
      <c r="E28" s="283">
        <f>VLOOKUP(D28,DATA!B15:F22,5,0)</f>
        <v>1</v>
      </c>
      <c r="F28" s="283" t="s">
        <v>213</v>
      </c>
      <c r="G28" s="387"/>
      <c r="H28" s="387"/>
      <c r="I28" s="387"/>
      <c r="J28" s="391"/>
      <c r="K28" s="8">
        <f>K27*E28</f>
        <v>42</v>
      </c>
      <c r="L28" s="300" t="s">
        <v>213</v>
      </c>
      <c r="M28" s="50"/>
      <c r="N28" s="4"/>
      <c r="O28" s="48"/>
      <c r="P28" s="182">
        <v>1</v>
      </c>
    </row>
    <row r="29" spans="1:16" ht="34" customHeight="1" thickBot="1" x14ac:dyDescent="0.3">
      <c r="A29" s="21"/>
      <c r="B29" s="21"/>
      <c r="C29" s="398" t="s">
        <v>194</v>
      </c>
      <c r="D29" s="399"/>
      <c r="E29" s="399"/>
      <c r="F29" s="399"/>
      <c r="G29" s="399"/>
      <c r="H29" s="399"/>
      <c r="I29" s="399"/>
      <c r="J29" s="399"/>
      <c r="K29" s="399"/>
      <c r="L29" s="400"/>
      <c r="M29" s="50"/>
      <c r="N29" s="4"/>
      <c r="O29" s="48"/>
      <c r="P29" s="182">
        <v>1</v>
      </c>
    </row>
    <row r="30" spans="1:16" ht="18" customHeight="1" x14ac:dyDescent="0.25">
      <c r="A30" s="21"/>
      <c r="B30" s="21"/>
      <c r="C30" s="150"/>
      <c r="D30" s="364" t="s">
        <v>97</v>
      </c>
      <c r="E30" s="365"/>
      <c r="F30" s="365"/>
      <c r="G30" s="365"/>
      <c r="H30" s="365"/>
      <c r="I30" s="365"/>
      <c r="J30" s="365"/>
      <c r="K30" s="365"/>
      <c r="L30" s="366"/>
      <c r="M30" s="50"/>
      <c r="N30" s="4"/>
      <c r="O30" s="48"/>
      <c r="P30" s="182">
        <v>1</v>
      </c>
    </row>
    <row r="31" spans="1:16" ht="23.5" customHeight="1" x14ac:dyDescent="0.25">
      <c r="A31" s="21"/>
      <c r="B31" s="21"/>
      <c r="C31" s="52">
        <f>VLOOKUP(D31,DATA!B39:F53,2,0)</f>
        <v>0</v>
      </c>
      <c r="D31" s="201" t="s">
        <v>200</v>
      </c>
      <c r="E31" s="283">
        <v>1</v>
      </c>
      <c r="F31" s="283" t="str">
        <f>VLOOKUP(D31,DATA!B39:F53,4,0)</f>
        <v>Bolsa x 50 Lb</v>
      </c>
      <c r="G31" s="283" t="s">
        <v>19</v>
      </c>
      <c r="H31" s="283">
        <f>VLOOKUP(D31,DATA!B39:F53,5,0)</f>
        <v>4.6399999999999997</v>
      </c>
      <c r="I31" s="283" t="s">
        <v>8</v>
      </c>
      <c r="J31" s="284">
        <v>0</v>
      </c>
      <c r="K31" s="283">
        <f>ROUNDUP(((($J$31/$H$31))*1.05)*$E$31,0)</f>
        <v>0</v>
      </c>
      <c r="L31" s="300" t="str">
        <f>VLOOKUP(D31,DATA!B39:F53,4,0)</f>
        <v>Bolsa x 50 Lb</v>
      </c>
      <c r="M31" s="50"/>
      <c r="N31" s="4"/>
      <c r="O31" s="48"/>
      <c r="P31" s="182">
        <v>1</v>
      </c>
    </row>
    <row r="32" spans="1:16" ht="25" customHeight="1" thickBot="1" x14ac:dyDescent="0.3">
      <c r="A32" s="21"/>
      <c r="B32" s="21"/>
      <c r="C32" s="361" t="s">
        <v>195</v>
      </c>
      <c r="D32" s="362"/>
      <c r="E32" s="362"/>
      <c r="F32" s="362"/>
      <c r="G32" s="362"/>
      <c r="H32" s="362"/>
      <c r="I32" s="362"/>
      <c r="J32" s="362"/>
      <c r="K32" s="362"/>
      <c r="L32" s="363"/>
      <c r="M32" s="50"/>
      <c r="N32" s="4"/>
      <c r="O32" s="48"/>
      <c r="P32" s="182">
        <v>1</v>
      </c>
    </row>
    <row r="33" spans="1:16" ht="21" customHeight="1" x14ac:dyDescent="0.25">
      <c r="A33" s="21"/>
      <c r="B33" s="21"/>
      <c r="C33" s="150"/>
      <c r="D33" s="364" t="s">
        <v>98</v>
      </c>
      <c r="E33" s="365"/>
      <c r="F33" s="365"/>
      <c r="G33" s="365"/>
      <c r="H33" s="365"/>
      <c r="I33" s="365"/>
      <c r="J33" s="365"/>
      <c r="K33" s="365"/>
      <c r="L33" s="366"/>
      <c r="M33" s="50"/>
      <c r="N33" s="4"/>
      <c r="O33" s="48"/>
      <c r="P33" s="182">
        <v>1</v>
      </c>
    </row>
    <row r="34" spans="1:16" ht="34" customHeight="1" x14ac:dyDescent="0.25">
      <c r="A34" s="21"/>
      <c r="B34" s="21"/>
      <c r="C34" s="52">
        <f>VLOOKUP(D34,DATA!B56:F64,2,0)</f>
        <v>7940</v>
      </c>
      <c r="D34" s="201" t="s">
        <v>33</v>
      </c>
      <c r="E34" s="283">
        <v>1</v>
      </c>
      <c r="F34" s="283" t="str">
        <f>VLOOKUP(D34,DATA!B56:F64,4,0)</f>
        <v>Kit x 32 Lb - 15,4 kg</v>
      </c>
      <c r="G34" s="386" t="s">
        <v>61</v>
      </c>
      <c r="H34" s="387">
        <f>VLOOKUP(D34,DATA!B56:F64,5,0)</f>
        <v>22.2</v>
      </c>
      <c r="I34" s="387" t="s">
        <v>8</v>
      </c>
      <c r="J34" s="388">
        <v>0</v>
      </c>
      <c r="K34" s="283">
        <f>ROUNDUP(((($J$34/$H$34))*1.05)*$E$34,0)</f>
        <v>0</v>
      </c>
      <c r="L34" s="304" t="str">
        <f>VLOOKUP(D34,DATA!B56:F64,4,0)</f>
        <v>Kit x 32 Lb - 15,4 kg</v>
      </c>
      <c r="M34" s="50"/>
      <c r="N34" s="4"/>
      <c r="O34" s="48"/>
      <c r="P34" s="182">
        <v>1</v>
      </c>
    </row>
    <row r="35" spans="1:16" ht="21.5" customHeight="1" x14ac:dyDescent="0.25">
      <c r="A35" s="21"/>
      <c r="B35" s="21"/>
      <c r="C35" s="52">
        <f>VLOOKUP(D35,DATA!B5:E11,2,0)</f>
        <v>5833</v>
      </c>
      <c r="D35" s="201" t="s">
        <v>230</v>
      </c>
      <c r="E35" s="283">
        <f>VLOOKUP(D34,DATA!B57:H64,7,0)</f>
        <v>2</v>
      </c>
      <c r="F35" s="283" t="s">
        <v>213</v>
      </c>
      <c r="G35" s="386"/>
      <c r="H35" s="387"/>
      <c r="I35" s="387"/>
      <c r="J35" s="388"/>
      <c r="K35" s="283">
        <f>K34*E35</f>
        <v>0</v>
      </c>
      <c r="L35" s="300" t="s">
        <v>213</v>
      </c>
      <c r="M35" s="50"/>
      <c r="N35" s="4"/>
      <c r="O35" s="48"/>
      <c r="P35" s="182">
        <v>1</v>
      </c>
    </row>
    <row r="36" spans="1:16" ht="24" customHeight="1" thickBot="1" x14ac:dyDescent="0.3">
      <c r="A36" s="21"/>
      <c r="B36" s="21"/>
      <c r="C36" s="367" t="s">
        <v>134</v>
      </c>
      <c r="D36" s="368"/>
      <c r="E36" s="368"/>
      <c r="F36" s="368"/>
      <c r="G36" s="368"/>
      <c r="H36" s="368"/>
      <c r="I36" s="368"/>
      <c r="J36" s="368"/>
      <c r="K36" s="368"/>
      <c r="L36" s="369"/>
      <c r="M36" s="50"/>
      <c r="N36" s="4"/>
      <c r="O36" s="48"/>
      <c r="P36" s="182">
        <v>1</v>
      </c>
    </row>
    <row r="37" spans="1:16" ht="39" customHeight="1" x14ac:dyDescent="0.25">
      <c r="A37" s="21"/>
      <c r="B37" s="249"/>
      <c r="C37" s="178"/>
      <c r="D37" s="178"/>
      <c r="E37" s="229"/>
      <c r="F37" s="229"/>
      <c r="G37" s="229"/>
      <c r="H37" s="229"/>
      <c r="I37" s="178"/>
      <c r="J37" s="178"/>
      <c r="K37" s="37"/>
      <c r="L37" s="18"/>
      <c r="M37" s="24"/>
      <c r="O37" s="48"/>
      <c r="P37" s="48"/>
    </row>
    <row r="38" spans="1:16" ht="20.5" customHeight="1" thickBot="1" x14ac:dyDescent="0.3">
      <c r="A38" s="21"/>
      <c r="B38" s="55" t="s">
        <v>231</v>
      </c>
      <c r="C38" s="56"/>
      <c r="D38" s="56"/>
      <c r="E38" s="17"/>
      <c r="F38" s="17"/>
      <c r="G38" s="37"/>
      <c r="H38" s="37"/>
      <c r="I38" s="37"/>
      <c r="J38" s="37"/>
      <c r="K38" s="37"/>
      <c r="L38" s="37"/>
      <c r="M38" s="53"/>
    </row>
    <row r="39" spans="1:16" ht="15" x14ac:dyDescent="0.3">
      <c r="A39" s="21"/>
      <c r="B39" s="60" t="s">
        <v>20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7"/>
      <c r="N39" s="18"/>
      <c r="O39" s="18"/>
    </row>
    <row r="40" spans="1:16" ht="13.5" customHeight="1" x14ac:dyDescent="0.25">
      <c r="A40" s="21"/>
      <c r="B40" s="404" t="s">
        <v>22</v>
      </c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6"/>
      <c r="N40" s="54"/>
      <c r="O40" s="54"/>
    </row>
    <row r="41" spans="1:16" x14ac:dyDescent="0.25">
      <c r="A41" s="21"/>
      <c r="B41" s="404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6"/>
      <c r="N41" s="54"/>
      <c r="O41" s="54"/>
    </row>
    <row r="42" spans="1:16" x14ac:dyDescent="0.25">
      <c r="A42" s="21"/>
      <c r="B42" s="401" t="s">
        <v>23</v>
      </c>
      <c r="C42" s="402"/>
      <c r="D42" s="402"/>
      <c r="E42" s="402"/>
      <c r="F42" s="402"/>
      <c r="G42" s="402"/>
      <c r="H42" s="402"/>
      <c r="I42" s="402"/>
      <c r="J42" s="402"/>
      <c r="K42" s="402"/>
      <c r="L42" s="402"/>
      <c r="M42" s="403"/>
      <c r="N42" s="16"/>
      <c r="O42" s="16"/>
    </row>
    <row r="43" spans="1:16" ht="14.5" customHeight="1" x14ac:dyDescent="0.3">
      <c r="A43" s="21"/>
      <c r="B43" s="23" t="s">
        <v>86</v>
      </c>
      <c r="C43" s="16"/>
      <c r="D43" s="16"/>
      <c r="E43" s="231"/>
      <c r="F43" s="91" t="s">
        <v>63</v>
      </c>
      <c r="G43" s="91"/>
      <c r="H43" s="17"/>
      <c r="I43" s="17"/>
      <c r="J43" s="17"/>
      <c r="K43" s="17"/>
      <c r="L43" s="17"/>
      <c r="M43" s="24"/>
    </row>
    <row r="44" spans="1:16" ht="14.5" x14ac:dyDescent="0.35">
      <c r="A44" s="21"/>
      <c r="B44" s="25" t="s">
        <v>77</v>
      </c>
      <c r="C44" s="16"/>
      <c r="D44" s="16"/>
      <c r="E44" s="232"/>
      <c r="F44" s="90" t="s">
        <v>82</v>
      </c>
      <c r="G44" s="17"/>
      <c r="H44" s="17"/>
      <c r="I44" s="17"/>
      <c r="J44" s="17"/>
      <c r="K44" s="17"/>
      <c r="L44" s="17"/>
      <c r="M44" s="58"/>
      <c r="N44" s="6"/>
      <c r="O44" s="6"/>
    </row>
    <row r="45" spans="1:16" ht="14.5" x14ac:dyDescent="0.35">
      <c r="A45" s="21"/>
      <c r="B45" s="2"/>
      <c r="C45" s="35"/>
      <c r="D45" s="35"/>
      <c r="E45" s="231"/>
      <c r="F45" s="230"/>
      <c r="G45" s="17"/>
      <c r="H45" s="17"/>
      <c r="I45" s="17"/>
      <c r="J45" s="17"/>
      <c r="K45" s="17"/>
      <c r="L45" s="6"/>
      <c r="M45" s="58"/>
      <c r="N45" s="6"/>
      <c r="O45" s="6"/>
    </row>
    <row r="46" spans="1:16" ht="14.5" x14ac:dyDescent="0.35">
      <c r="A46" s="21"/>
      <c r="B46" s="23" t="s">
        <v>80</v>
      </c>
      <c r="C46" s="25"/>
      <c r="D46" s="35"/>
      <c r="E46" s="230"/>
      <c r="F46" s="90" t="s">
        <v>84</v>
      </c>
      <c r="G46" s="17"/>
      <c r="H46" s="17"/>
      <c r="I46" s="17"/>
      <c r="J46" s="17"/>
      <c r="K46" s="17"/>
      <c r="L46" s="6"/>
      <c r="M46" s="58"/>
      <c r="N46" s="6"/>
      <c r="O46" s="6"/>
    </row>
    <row r="47" spans="1:16" ht="14.5" x14ac:dyDescent="0.35">
      <c r="A47" s="21"/>
      <c r="B47" s="25" t="s">
        <v>78</v>
      </c>
      <c r="C47" s="25"/>
      <c r="D47" s="35"/>
      <c r="E47" s="230"/>
      <c r="F47" s="89" t="s">
        <v>64</v>
      </c>
      <c r="G47" s="17"/>
      <c r="H47" s="17"/>
      <c r="I47" s="17"/>
      <c r="J47" s="17"/>
      <c r="K47" s="17"/>
      <c r="L47" s="6"/>
      <c r="M47" s="58"/>
      <c r="N47" s="6"/>
      <c r="O47" s="6"/>
    </row>
    <row r="48" spans="1:16" ht="14.5" x14ac:dyDescent="0.35">
      <c r="A48" s="21"/>
      <c r="B48" s="23" t="s">
        <v>81</v>
      </c>
      <c r="C48" s="36"/>
      <c r="D48" s="6"/>
      <c r="E48" s="231"/>
      <c r="F48" s="90" t="s">
        <v>85</v>
      </c>
      <c r="G48" s="17"/>
      <c r="H48" s="17"/>
      <c r="I48" s="17"/>
      <c r="J48" s="17"/>
      <c r="K48" s="17"/>
      <c r="L48" s="6"/>
      <c r="M48" s="58"/>
      <c r="N48" s="6"/>
      <c r="O48" s="6"/>
    </row>
    <row r="49" spans="1:16" ht="14.5" x14ac:dyDescent="0.35">
      <c r="A49" s="21"/>
      <c r="B49" s="25" t="s">
        <v>79</v>
      </c>
      <c r="C49" s="6"/>
      <c r="D49" s="6"/>
      <c r="E49" s="17"/>
      <c r="F49" s="17"/>
      <c r="G49" s="17"/>
      <c r="H49" s="17"/>
      <c r="I49" s="17"/>
      <c r="J49" s="17"/>
      <c r="K49" s="17"/>
      <c r="L49" s="6"/>
      <c r="M49" s="58"/>
      <c r="N49" s="6"/>
      <c r="O49" s="6"/>
    </row>
    <row r="50" spans="1:16" ht="14.5" x14ac:dyDescent="0.35">
      <c r="A50" s="21"/>
      <c r="B50" s="25"/>
      <c r="C50" s="35"/>
      <c r="D50" s="6"/>
      <c r="E50" s="17"/>
      <c r="F50" s="17"/>
      <c r="G50" s="17"/>
      <c r="H50" s="17"/>
      <c r="I50" s="17"/>
      <c r="J50" s="17"/>
      <c r="K50" s="17"/>
      <c r="L50" s="6"/>
      <c r="M50" s="58"/>
      <c r="N50" s="6"/>
      <c r="O50" s="6"/>
    </row>
    <row r="51" spans="1:16" x14ac:dyDescent="0.25">
      <c r="A51" s="21"/>
      <c r="B51" s="2"/>
      <c r="C51" s="6"/>
      <c r="D51" s="6"/>
      <c r="E51" s="17"/>
      <c r="F51" s="17"/>
      <c r="G51" s="17"/>
      <c r="H51" s="17"/>
      <c r="I51" s="6"/>
      <c r="J51" s="6"/>
      <c r="K51" s="17"/>
      <c r="L51" s="6"/>
      <c r="M51" s="3"/>
      <c r="N51" s="6"/>
      <c r="O51" s="6"/>
      <c r="P51" s="6"/>
    </row>
    <row r="52" spans="1:16" x14ac:dyDescent="0.25">
      <c r="A52" s="21"/>
      <c r="B52" s="2"/>
      <c r="C52" s="6"/>
      <c r="D52" s="6"/>
      <c r="E52" s="17"/>
      <c r="F52" s="17"/>
      <c r="G52" s="17"/>
      <c r="H52" s="17"/>
      <c r="I52" s="6"/>
      <c r="J52" s="6"/>
      <c r="K52" s="17"/>
      <c r="L52" s="6"/>
      <c r="M52" s="3"/>
      <c r="N52" s="6"/>
      <c r="O52" s="6"/>
      <c r="P52" s="6"/>
    </row>
    <row r="53" spans="1:16" ht="79" customHeight="1" x14ac:dyDescent="0.25">
      <c r="A53" s="21"/>
      <c r="B53" s="2"/>
      <c r="C53" s="6"/>
      <c r="D53" s="6"/>
      <c r="E53" s="17"/>
      <c r="F53" s="17"/>
      <c r="G53" s="17"/>
      <c r="H53" s="17"/>
      <c r="I53" s="6"/>
      <c r="J53" s="6"/>
      <c r="K53" s="17"/>
      <c r="L53" s="6"/>
      <c r="M53" s="3"/>
      <c r="N53" s="6"/>
      <c r="O53" s="6"/>
      <c r="P53" s="6"/>
    </row>
    <row r="54" spans="1:16" x14ac:dyDescent="0.25">
      <c r="A54" s="21"/>
      <c r="B54" s="2"/>
      <c r="C54" s="6"/>
      <c r="D54" s="6"/>
      <c r="E54" s="17"/>
      <c r="F54" s="17"/>
      <c r="G54" s="17"/>
      <c r="H54" s="17"/>
      <c r="I54" s="6"/>
      <c r="J54" s="6"/>
      <c r="K54" s="17"/>
      <c r="L54" s="6"/>
      <c r="M54" s="3"/>
      <c r="N54" s="6"/>
      <c r="O54" s="6"/>
      <c r="P54" s="6"/>
    </row>
    <row r="55" spans="1:16" x14ac:dyDescent="0.25">
      <c r="A55" s="21"/>
      <c r="B55" s="2"/>
      <c r="C55" s="6"/>
      <c r="D55" s="6"/>
      <c r="E55" s="17"/>
      <c r="F55" s="17"/>
      <c r="G55" s="17"/>
      <c r="H55" s="17"/>
      <c r="I55" s="6"/>
      <c r="J55" s="6"/>
      <c r="K55" s="17"/>
      <c r="L55" s="6"/>
      <c r="M55" s="3"/>
      <c r="N55" s="6"/>
      <c r="O55" s="6"/>
      <c r="P55" s="6"/>
    </row>
    <row r="56" spans="1:16" x14ac:dyDescent="0.25">
      <c r="B56" s="2"/>
      <c r="C56" s="6"/>
      <c r="D56" s="6"/>
      <c r="E56" s="17"/>
      <c r="F56" s="17"/>
      <c r="G56" s="17"/>
      <c r="H56" s="17"/>
      <c r="I56" s="6"/>
      <c r="J56" s="6"/>
      <c r="K56" s="17"/>
      <c r="L56" s="6"/>
      <c r="M56" s="3"/>
      <c r="N56" s="6"/>
      <c r="O56" s="6"/>
      <c r="P56" s="6"/>
    </row>
    <row r="57" spans="1:16" x14ac:dyDescent="0.25">
      <c r="B57" s="2"/>
      <c r="C57" s="6"/>
      <c r="D57" s="6"/>
      <c r="E57" s="17"/>
      <c r="F57" s="17"/>
      <c r="G57" s="17"/>
      <c r="H57" s="17"/>
      <c r="I57" s="6"/>
      <c r="J57" s="6"/>
      <c r="K57" s="17"/>
      <c r="L57" s="6"/>
      <c r="M57" s="3"/>
      <c r="O57" s="6"/>
      <c r="P57" s="6"/>
    </row>
    <row r="58" spans="1:16" x14ac:dyDescent="0.25">
      <c r="B58" s="2"/>
      <c r="C58" s="6"/>
      <c r="D58" s="6"/>
      <c r="E58" s="17"/>
      <c r="F58" s="17"/>
      <c r="G58" s="17"/>
      <c r="H58" s="17"/>
      <c r="I58" s="6"/>
      <c r="J58" s="6"/>
      <c r="K58" s="17"/>
      <c r="L58" s="6"/>
      <c r="M58" s="3"/>
      <c r="O58" s="6"/>
      <c r="P58" s="6"/>
    </row>
    <row r="59" spans="1:16" ht="14" thickBot="1" x14ac:dyDescent="0.3">
      <c r="B59" s="155"/>
      <c r="C59" s="156"/>
      <c r="D59" s="156"/>
      <c r="E59" s="158"/>
      <c r="F59" s="158"/>
      <c r="G59" s="158"/>
      <c r="H59" s="158"/>
      <c r="I59" s="156"/>
      <c r="J59" s="156"/>
      <c r="K59" s="158"/>
      <c r="L59" s="156"/>
      <c r="M59" s="157"/>
    </row>
    <row r="60" spans="1:16" ht="14" hidden="1" thickBot="1" x14ac:dyDescent="0.3">
      <c r="B60" s="155"/>
      <c r="C60" s="156"/>
      <c r="D60" s="156"/>
      <c r="E60" s="158"/>
      <c r="F60" s="158"/>
      <c r="G60" s="158"/>
      <c r="H60" s="158"/>
      <c r="I60" s="156"/>
      <c r="J60" s="156"/>
      <c r="K60" s="158"/>
      <c r="L60" s="156"/>
      <c r="M60" s="157"/>
    </row>
  </sheetData>
  <sheetProtection algorithmName="SHA-512" hashValue="W93oyixJDDereInfIBGHH4JXsCWX+Iyl0TaeLM+fwJGJ5/xb8tWhvblEdOwe+BRkYWd6Fax25ApfxbBvcMS0fg==" saltValue="uWnblu8TqVMVOxoRHiLFew==" spinCount="100000" sheet="1" selectLockedCells="1"/>
  <protectedRanges>
    <protectedRange sqref="F48:K48" name="Detalles Constructivos"/>
    <protectedRange sqref="F46:L46" name="Guia para la aplicacion"/>
    <protectedRange sqref="F44:K44" name="REsistencia Quimicas"/>
    <protectedRange sqref="B49:E49" name="Hoja Tecnica 3"/>
    <protectedRange sqref="B47:C47" name="Hoja Tecnica 2"/>
    <protectedRange sqref="B44:E44" name="Hoja Tecnica 1"/>
    <protectedRange sqref="D35" name="Seleccion Color Sello"/>
    <protectedRange sqref="J34" name="Area Sello"/>
    <protectedRange sqref="D34" name="Selecccion Sello"/>
    <protectedRange sqref="J31" name="Area Antideslizante"/>
    <protectedRange sqref="D31" name="Seleccion Antideslizante"/>
    <protectedRange sqref="C13" name="Seleccion de Sistema"/>
    <protectedRange sqref="D22" name="Seleccion Primer"/>
    <protectedRange sqref="J22" name="Area Primer"/>
    <protectedRange sqref="D28" name="Seleccion Pigmento"/>
    <protectedRange sqref="J26" name="Area Mortero"/>
  </protectedRanges>
  <mergeCells count="27">
    <mergeCell ref="C29:L29"/>
    <mergeCell ref="D30:L30"/>
    <mergeCell ref="B42:M42"/>
    <mergeCell ref="B40:M41"/>
    <mergeCell ref="K20:L20"/>
    <mergeCell ref="G26:G28"/>
    <mergeCell ref="H26:H28"/>
    <mergeCell ref="J22:J23"/>
    <mergeCell ref="I26:I28"/>
    <mergeCell ref="D25:L25"/>
    <mergeCell ref="C24:L24"/>
    <mergeCell ref="C32:L32"/>
    <mergeCell ref="D33:L33"/>
    <mergeCell ref="C36:L36"/>
    <mergeCell ref="C14:D17"/>
    <mergeCell ref="C9:D10"/>
    <mergeCell ref="C11:D11"/>
    <mergeCell ref="C12:D12"/>
    <mergeCell ref="C13:D13"/>
    <mergeCell ref="G34:G35"/>
    <mergeCell ref="H34:H35"/>
    <mergeCell ref="I34:I35"/>
    <mergeCell ref="J34:J35"/>
    <mergeCell ref="C26:C27"/>
    <mergeCell ref="E20:F20"/>
    <mergeCell ref="G20:I20"/>
    <mergeCell ref="J26:J28"/>
  </mergeCells>
  <hyperlinks>
    <hyperlink ref="B44" r:id="rId1" xr:uid="{00000000-0004-0000-0500-000000000000}"/>
    <hyperlink ref="B49" r:id="rId2" xr:uid="{00000000-0004-0000-0500-000001000000}"/>
    <hyperlink ref="F48" r:id="rId3" xr:uid="{00000000-0004-0000-0500-000002000000}"/>
    <hyperlink ref="F44" r:id="rId4" xr:uid="{00000000-0004-0000-0500-000003000000}"/>
  </hyperlinks>
  <printOptions horizontalCentered="1"/>
  <pageMargins left="0.70866141732283472" right="0.70866141732283472" top="0.74803149606299213" bottom="0.74803149606299213" header="0.31496062992125984" footer="0.31496062992125984"/>
  <pageSetup scale="41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0000000}">
          <x14:formula1>
            <xm:f>DATA!$B$26:$B$28</xm:f>
          </x14:formula1>
          <xm:sqref>D22</xm:sqref>
        </x14:dataValidation>
        <x14:dataValidation type="list" allowBlank="1" showInputMessage="1" showErrorMessage="1" xr:uid="{00000000-0002-0000-0500-000001000000}">
          <x14:formula1>
            <xm:f>DATA!$B$15:$B$22</xm:f>
          </x14:formula1>
          <xm:sqref>D28</xm:sqref>
        </x14:dataValidation>
        <x14:dataValidation type="list" allowBlank="1" showInputMessage="1" showErrorMessage="1" xr:uid="{00000000-0002-0000-0500-000002000000}">
          <x14:formula1>
            <xm:f>DATA!$B$39:$B$53</xm:f>
          </x14:formula1>
          <xm:sqref>D31</xm:sqref>
        </x14:dataValidation>
        <x14:dataValidation type="list" allowBlank="1" showInputMessage="1" showErrorMessage="1" xr:uid="{00000000-0002-0000-0500-000003000000}">
          <x14:formula1>
            <xm:f>DATA!$B$57:$B$64</xm:f>
          </x14:formula1>
          <xm:sqref>D34</xm:sqref>
        </x14:dataValidation>
        <x14:dataValidation type="list" allowBlank="1" showInputMessage="1" showErrorMessage="1" xr:uid="{00000000-0002-0000-0500-000004000000}">
          <x14:formula1>
            <xm:f>DATA!$B$79:$B$83</xm:f>
          </x14:formula1>
          <xm:sqref>C13:D13</xm:sqref>
        </x14:dataValidation>
        <x14:dataValidation type="list" allowBlank="1" showInputMessage="1" showErrorMessage="1" xr:uid="{00000000-0002-0000-0500-000005000000}">
          <x14:formula1>
            <xm:f>DATA!$B$5:$B$11</xm:f>
          </x14:formula1>
          <xm:sqref>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0"/>
  <sheetViews>
    <sheetView showGridLines="0" view="pageBreakPreview" zoomScale="60" zoomScaleNormal="50" zoomScalePageLayoutView="80" workbookViewId="0">
      <selection activeCell="C12" sqref="C12:D13"/>
    </sheetView>
  </sheetViews>
  <sheetFormatPr baseColWidth="10" defaultColWidth="11.453125" defaultRowHeight="13.5" x14ac:dyDescent="0.25"/>
  <cols>
    <col min="1" max="1" width="3.54296875" style="1" customWidth="1"/>
    <col min="2" max="2" width="19.54296875" style="1" customWidth="1"/>
    <col min="3" max="3" width="41.08984375" style="1" customWidth="1"/>
    <col min="4" max="4" width="35.36328125" style="1" customWidth="1"/>
    <col min="5" max="5" width="28.08984375" style="14" customWidth="1"/>
    <col min="6" max="6" width="13.81640625" style="1" customWidth="1"/>
    <col min="7" max="7" width="8.1796875" style="1" customWidth="1"/>
    <col min="8" max="8" width="5.36328125" style="1" customWidth="1"/>
    <col min="9" max="9" width="8.453125" style="1" customWidth="1"/>
    <col min="10" max="10" width="9.1796875" style="1" customWidth="1"/>
    <col min="11" max="11" width="20.6328125" style="43" customWidth="1"/>
    <col min="12" max="12" width="29.81640625" style="1" customWidth="1"/>
    <col min="13" max="13" width="13.7265625" style="1" customWidth="1"/>
    <col min="14" max="14" width="23.6328125" style="1" customWidth="1"/>
    <col min="15" max="15" width="20.90625" style="1" customWidth="1"/>
    <col min="16" max="16" width="13.453125" style="1" bestFit="1" customWidth="1"/>
    <col min="17" max="16384" width="11.453125" style="1"/>
  </cols>
  <sheetData>
    <row r="1" spans="1:15" ht="103.5" customHeight="1" x14ac:dyDescent="0.25">
      <c r="A1" s="160"/>
      <c r="B1" s="153"/>
      <c r="C1" s="154"/>
      <c r="D1" s="85"/>
      <c r="E1" s="86"/>
      <c r="F1" s="85"/>
      <c r="G1" s="85"/>
      <c r="H1" s="85"/>
      <c r="I1" s="85"/>
      <c r="J1" s="85"/>
      <c r="K1" s="59"/>
      <c r="L1" s="85"/>
      <c r="M1" s="87"/>
      <c r="N1" s="39"/>
      <c r="O1" s="182">
        <v>1</v>
      </c>
    </row>
    <row r="2" spans="1:15" ht="36" customHeight="1" x14ac:dyDescent="0.25">
      <c r="A2" s="21"/>
      <c r="B2" s="20"/>
      <c r="C2" s="4"/>
      <c r="D2" s="88"/>
      <c r="E2" s="13" t="s">
        <v>6</v>
      </c>
      <c r="F2" s="5"/>
      <c r="G2" s="5"/>
      <c r="H2" s="5"/>
      <c r="I2" s="5"/>
      <c r="J2" s="5"/>
      <c r="K2" s="5"/>
      <c r="L2" s="5"/>
      <c r="M2" s="26"/>
      <c r="N2" s="40"/>
      <c r="O2" s="182">
        <v>2</v>
      </c>
    </row>
    <row r="3" spans="1:15" ht="55" customHeight="1" x14ac:dyDescent="0.25">
      <c r="A3" s="21"/>
      <c r="B3" s="20"/>
      <c r="C3" s="4"/>
      <c r="D3" s="88"/>
      <c r="E3" s="13"/>
      <c r="F3" s="5"/>
      <c r="G3" s="5"/>
      <c r="H3" s="5"/>
      <c r="I3" s="5"/>
      <c r="J3" s="5"/>
      <c r="K3" s="5"/>
      <c r="L3" s="5"/>
      <c r="M3" s="26"/>
      <c r="N3" s="40"/>
      <c r="O3" s="182">
        <v>3</v>
      </c>
    </row>
    <row r="4" spans="1:15" ht="34.5" customHeight="1" x14ac:dyDescent="0.25">
      <c r="A4" s="21"/>
      <c r="B4" s="20"/>
      <c r="C4" s="4"/>
      <c r="D4" s="88"/>
      <c r="E4" s="13"/>
      <c r="F4" s="5"/>
      <c r="G4" s="5"/>
      <c r="H4" s="5"/>
      <c r="I4" s="5"/>
      <c r="J4" s="5"/>
      <c r="K4" s="5"/>
      <c r="L4" s="5"/>
      <c r="M4" s="26"/>
      <c r="N4" s="40"/>
      <c r="O4" s="182">
        <v>4</v>
      </c>
    </row>
    <row r="5" spans="1:15" ht="17.5" x14ac:dyDescent="0.25">
      <c r="A5" s="21"/>
      <c r="B5" s="159"/>
      <c r="C5" s="306"/>
      <c r="D5" s="306"/>
      <c r="E5" s="306"/>
      <c r="F5" s="306"/>
      <c r="G5" s="306"/>
      <c r="H5" s="306"/>
      <c r="I5" s="306"/>
      <c r="J5" s="306"/>
      <c r="K5" s="306"/>
      <c r="L5" s="4"/>
      <c r="M5" s="50"/>
      <c r="N5" s="4"/>
      <c r="O5" s="182"/>
    </row>
    <row r="6" spans="1:15" ht="17.5" x14ac:dyDescent="0.25">
      <c r="A6" s="21"/>
      <c r="B6" s="159"/>
      <c r="C6" s="306"/>
      <c r="D6" s="306"/>
      <c r="E6" s="306"/>
      <c r="F6" s="306"/>
      <c r="G6" s="306"/>
      <c r="H6" s="306"/>
      <c r="I6" s="306"/>
      <c r="J6" s="306"/>
      <c r="K6" s="306"/>
      <c r="L6" s="4"/>
      <c r="M6" s="50"/>
      <c r="N6" s="4"/>
      <c r="O6" s="182"/>
    </row>
    <row r="7" spans="1:15" ht="17.5" x14ac:dyDescent="0.25">
      <c r="A7" s="21"/>
      <c r="B7" s="159"/>
      <c r="C7" s="306"/>
      <c r="D7" s="306"/>
      <c r="E7" s="306"/>
      <c r="F7" s="306"/>
      <c r="G7" s="306"/>
      <c r="H7" s="306"/>
      <c r="I7" s="306"/>
      <c r="J7" s="306"/>
      <c r="K7" s="306"/>
      <c r="L7" s="4"/>
      <c r="M7" s="50"/>
      <c r="N7" s="4"/>
      <c r="O7" s="182"/>
    </row>
    <row r="8" spans="1:15" ht="17.5" x14ac:dyDescent="0.25">
      <c r="A8" s="21"/>
      <c r="B8" s="159"/>
      <c r="C8" s="306"/>
      <c r="D8" s="306"/>
      <c r="E8" s="306"/>
      <c r="F8" s="306"/>
      <c r="G8" s="306"/>
      <c r="H8" s="306"/>
      <c r="I8" s="306"/>
      <c r="J8" s="306"/>
      <c r="K8" s="306"/>
      <c r="L8" s="4"/>
      <c r="M8" s="50"/>
      <c r="N8" s="4"/>
      <c r="O8" s="182"/>
    </row>
    <row r="9" spans="1:15" ht="17.5" x14ac:dyDescent="0.25">
      <c r="A9" s="21"/>
      <c r="B9" s="159"/>
      <c r="C9" s="306"/>
      <c r="D9" s="306"/>
      <c r="E9" s="306"/>
      <c r="F9" s="306"/>
      <c r="G9" s="306"/>
      <c r="H9" s="306"/>
      <c r="I9" s="306"/>
      <c r="J9" s="306"/>
      <c r="K9" s="306"/>
      <c r="L9" s="4"/>
      <c r="M9" s="50"/>
      <c r="N9" s="4"/>
      <c r="O9" s="182"/>
    </row>
    <row r="10" spans="1:15" ht="17.5" customHeight="1" x14ac:dyDescent="0.25">
      <c r="A10" s="21"/>
      <c r="B10" s="20"/>
      <c r="C10" s="4"/>
      <c r="D10" s="4"/>
      <c r="E10" s="4"/>
      <c r="F10" s="4"/>
      <c r="G10" s="4"/>
      <c r="H10" s="4"/>
      <c r="I10" s="4"/>
      <c r="J10" s="4"/>
      <c r="K10" s="4"/>
      <c r="L10" s="4"/>
      <c r="M10" s="50"/>
      <c r="N10" s="4"/>
      <c r="O10" s="182">
        <v>10</v>
      </c>
    </row>
    <row r="11" spans="1:15" ht="18" thickBot="1" x14ac:dyDescent="0.3">
      <c r="A11" s="21"/>
      <c r="B11" s="20"/>
      <c r="C11" s="4"/>
      <c r="D11" s="4"/>
      <c r="E11" s="4"/>
      <c r="F11" s="4"/>
      <c r="G11" s="4"/>
      <c r="H11" s="4"/>
      <c r="I11" s="4"/>
      <c r="J11" s="4"/>
      <c r="K11" s="4"/>
      <c r="L11" s="4"/>
      <c r="M11" s="50"/>
      <c r="N11" s="4"/>
      <c r="O11" s="182">
        <v>11</v>
      </c>
    </row>
    <row r="12" spans="1:15" ht="17.5" x14ac:dyDescent="0.25">
      <c r="A12" s="21"/>
      <c r="B12" s="20"/>
      <c r="C12" s="376" t="s">
        <v>135</v>
      </c>
      <c r="D12" s="377"/>
      <c r="E12" s="4"/>
      <c r="F12" s="4"/>
      <c r="G12" s="4"/>
      <c r="H12" s="4"/>
      <c r="I12" s="4"/>
      <c r="J12" s="4"/>
      <c r="K12" s="4"/>
      <c r="L12" s="4"/>
      <c r="M12" s="50"/>
      <c r="N12" s="4"/>
      <c r="O12" s="182">
        <v>12</v>
      </c>
    </row>
    <row r="13" spans="1:15" ht="17.5" customHeight="1" x14ac:dyDescent="0.25">
      <c r="A13" s="21"/>
      <c r="B13" s="20"/>
      <c r="C13" s="378"/>
      <c r="D13" s="379"/>
      <c r="E13" s="4"/>
      <c r="F13" s="4"/>
      <c r="G13" s="4"/>
      <c r="H13" s="4"/>
      <c r="I13" s="4"/>
      <c r="J13" s="4"/>
      <c r="K13" s="4"/>
      <c r="L13" s="4"/>
      <c r="M13" s="50"/>
      <c r="N13" s="4"/>
      <c r="O13" s="182">
        <v>13</v>
      </c>
    </row>
    <row r="14" spans="1:15" ht="25" customHeight="1" x14ac:dyDescent="0.25">
      <c r="A14" s="21"/>
      <c r="B14" s="20"/>
      <c r="C14" s="380" t="s">
        <v>151</v>
      </c>
      <c r="D14" s="381"/>
      <c r="E14" s="4"/>
      <c r="F14" s="4"/>
      <c r="G14" s="4"/>
      <c r="H14" s="4"/>
      <c r="I14" s="4"/>
      <c r="J14" s="4"/>
      <c r="K14" s="4"/>
      <c r="L14" s="4"/>
      <c r="M14" s="50"/>
      <c r="N14" s="4"/>
      <c r="O14" s="182">
        <v>14</v>
      </c>
    </row>
    <row r="15" spans="1:15" ht="17.5" customHeight="1" thickBot="1" x14ac:dyDescent="0.3">
      <c r="A15" s="21"/>
      <c r="B15" s="20"/>
      <c r="C15" s="382" t="s">
        <v>217</v>
      </c>
      <c r="D15" s="383"/>
      <c r="E15" s="4"/>
      <c r="F15" s="4"/>
      <c r="G15" s="4"/>
      <c r="H15" s="4"/>
      <c r="I15" s="4"/>
      <c r="J15" s="4"/>
      <c r="K15" s="4"/>
      <c r="L15" s="4"/>
      <c r="M15" s="50"/>
      <c r="N15" s="4"/>
      <c r="O15" s="182">
        <v>15</v>
      </c>
    </row>
    <row r="16" spans="1:15" ht="24" customHeight="1" thickBot="1" x14ac:dyDescent="0.3">
      <c r="A16" s="21"/>
      <c r="B16" s="20"/>
      <c r="C16" s="384" t="s">
        <v>88</v>
      </c>
      <c r="D16" s="385"/>
      <c r="E16" s="4"/>
      <c r="F16" s="4"/>
      <c r="G16" s="4"/>
      <c r="H16" s="4"/>
      <c r="I16" s="4"/>
      <c r="J16" s="4"/>
      <c r="K16" s="4"/>
      <c r="L16" s="4"/>
      <c r="M16" s="50"/>
      <c r="N16" s="4"/>
      <c r="O16" s="182">
        <v>16</v>
      </c>
    </row>
    <row r="17" spans="1:16" ht="17.5" x14ac:dyDescent="0.25">
      <c r="A17" s="21"/>
      <c r="B17" s="20"/>
      <c r="C17" s="370" t="str">
        <f>VLOOKUP(C16,DATA!B86:L90,10,0)</f>
        <v>Uretano Cemento Autonivelante de acabado liso y mate. Este sistema en 4 mm se obtiene utilizando el Kit Monopur Industry SL 4 mm.</v>
      </c>
      <c r="D17" s="371"/>
      <c r="E17" s="4"/>
      <c r="F17" s="4"/>
      <c r="G17" s="4"/>
      <c r="H17" s="4"/>
      <c r="I17" s="4"/>
      <c r="J17" s="4"/>
      <c r="K17" s="4"/>
      <c r="L17" s="4"/>
      <c r="M17" s="50"/>
      <c r="N17" s="4"/>
      <c r="O17" s="182">
        <v>17</v>
      </c>
    </row>
    <row r="18" spans="1:16" ht="17.5" x14ac:dyDescent="0.25">
      <c r="A18" s="21"/>
      <c r="B18" s="20"/>
      <c r="C18" s="372"/>
      <c r="D18" s="373"/>
      <c r="E18" s="4"/>
      <c r="F18" s="4"/>
      <c r="G18" s="4"/>
      <c r="H18" s="4"/>
      <c r="I18" s="4"/>
      <c r="J18" s="4"/>
      <c r="K18" s="4"/>
      <c r="L18" s="4"/>
      <c r="M18" s="50"/>
      <c r="N18" s="4"/>
      <c r="O18" s="182">
        <v>18</v>
      </c>
    </row>
    <row r="19" spans="1:16" ht="17.5" x14ac:dyDescent="0.25">
      <c r="A19" s="21"/>
      <c r="B19" s="20"/>
      <c r="C19" s="372"/>
      <c r="D19" s="373"/>
      <c r="E19" s="4"/>
      <c r="F19" s="4"/>
      <c r="G19" s="4"/>
      <c r="H19" s="4"/>
      <c r="I19" s="4"/>
      <c r="J19" s="4"/>
      <c r="K19" s="4"/>
      <c r="L19" s="4"/>
      <c r="M19" s="50"/>
      <c r="N19" s="4"/>
      <c r="O19" s="182">
        <v>19</v>
      </c>
    </row>
    <row r="20" spans="1:16" ht="17.5" x14ac:dyDescent="0.25">
      <c r="A20" s="21"/>
      <c r="B20" s="20"/>
      <c r="C20" s="372"/>
      <c r="D20" s="373"/>
      <c r="E20" s="4"/>
      <c r="F20" s="4"/>
      <c r="G20" s="4"/>
      <c r="H20" s="4"/>
      <c r="I20" s="4"/>
      <c r="J20" s="4"/>
      <c r="K20" s="4"/>
      <c r="L20" s="4"/>
      <c r="M20" s="50"/>
      <c r="N20" s="4"/>
      <c r="O20" s="182">
        <v>20</v>
      </c>
    </row>
    <row r="21" spans="1:16" ht="17.5" x14ac:dyDescent="0.25">
      <c r="A21" s="21"/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50"/>
      <c r="N21" s="4"/>
      <c r="O21" s="182">
        <v>22</v>
      </c>
    </row>
    <row r="22" spans="1:16" ht="74.5" customHeight="1" thickBot="1" x14ac:dyDescent="0.3">
      <c r="A22" s="21"/>
      <c r="B22" s="20"/>
      <c r="C22" s="4"/>
      <c r="D22" s="4"/>
      <c r="E22" s="4"/>
      <c r="F22" s="4"/>
      <c r="G22" s="4"/>
      <c r="H22" s="4"/>
      <c r="I22" s="4"/>
      <c r="J22" s="4"/>
      <c r="K22" s="4"/>
      <c r="L22" s="4"/>
      <c r="M22" s="50"/>
      <c r="N22" s="4"/>
      <c r="O22" s="182">
        <v>23</v>
      </c>
    </row>
    <row r="23" spans="1:16" ht="50.5" customHeight="1" thickBot="1" x14ac:dyDescent="0.3">
      <c r="A23" s="21"/>
      <c r="B23" s="21"/>
      <c r="C23" s="179" t="s">
        <v>9</v>
      </c>
      <c r="D23" s="286" t="s">
        <v>0</v>
      </c>
      <c r="E23" s="390" t="s">
        <v>3</v>
      </c>
      <c r="F23" s="390"/>
      <c r="G23" s="390" t="s">
        <v>1</v>
      </c>
      <c r="H23" s="390"/>
      <c r="I23" s="390"/>
      <c r="J23" s="286" t="s">
        <v>7</v>
      </c>
      <c r="K23" s="390" t="s">
        <v>4</v>
      </c>
      <c r="L23" s="392"/>
      <c r="M23" s="50"/>
      <c r="N23" s="4"/>
      <c r="O23" s="4"/>
      <c r="P23" s="182">
        <v>24</v>
      </c>
    </row>
    <row r="24" spans="1:16" ht="14.5" customHeight="1" thickBot="1" x14ac:dyDescent="0.3">
      <c r="A24" s="21"/>
      <c r="B24" s="21"/>
      <c r="C24" s="307"/>
      <c r="D24" s="410" t="s">
        <v>191</v>
      </c>
      <c r="E24" s="411"/>
      <c r="F24" s="411"/>
      <c r="G24" s="411"/>
      <c r="H24" s="411"/>
      <c r="I24" s="411"/>
      <c r="J24" s="411"/>
      <c r="K24" s="411"/>
      <c r="L24" s="412"/>
      <c r="M24" s="50"/>
      <c r="N24" s="4"/>
      <c r="P24" s="182">
        <v>25</v>
      </c>
    </row>
    <row r="25" spans="1:16" ht="21.5" customHeight="1" x14ac:dyDescent="0.25">
      <c r="A25" s="21"/>
      <c r="B25" s="21"/>
      <c r="C25" s="312">
        <f>VLOOKUP(D25,DATA!B26:H28,2,0)</f>
        <v>6557</v>
      </c>
      <c r="D25" s="313" t="s">
        <v>66</v>
      </c>
      <c r="E25" s="314">
        <v>1</v>
      </c>
      <c r="F25" s="314" t="str">
        <f>VLOOKUP(D25,DATA!B26:H28,4,0)</f>
        <v>Unidad x 3 kg</v>
      </c>
      <c r="G25" s="314" t="s">
        <v>16</v>
      </c>
      <c r="H25" s="315">
        <f>VLOOKUP(D25,DATA!B26:H28,5,0)</f>
        <v>7.5</v>
      </c>
      <c r="I25" s="314" t="s">
        <v>8</v>
      </c>
      <c r="J25" s="427">
        <v>180</v>
      </c>
      <c r="K25" s="316">
        <f>ROUNDUP(((J25/H25)*1.05),0)</f>
        <v>26</v>
      </c>
      <c r="L25" s="317" t="str">
        <f>F25</f>
        <v>Unidad x 3 kg</v>
      </c>
      <c r="M25" s="50"/>
      <c r="N25" s="4"/>
      <c r="P25" s="182">
        <v>26</v>
      </c>
    </row>
    <row r="26" spans="1:16" ht="21" customHeight="1" x14ac:dyDescent="0.25">
      <c r="A26" s="21"/>
      <c r="B26" s="21"/>
      <c r="C26" s="171">
        <f>VLOOKUP(D26,DATA!B32:F34,2,0)</f>
        <v>2014</v>
      </c>
      <c r="D26" s="15" t="str">
        <f>VLOOKUP(C16,DATA!B86:L90,9,0)</f>
        <v>Eucofiller Medio</v>
      </c>
      <c r="E26" s="283">
        <f>VLOOKUP(D25,DATA!B26:H28,6,0)</f>
        <v>1</v>
      </c>
      <c r="F26" s="283" t="s">
        <v>18</v>
      </c>
      <c r="G26" s="283" t="s">
        <v>19</v>
      </c>
      <c r="H26" s="12">
        <v>200</v>
      </c>
      <c r="I26" s="283" t="s">
        <v>8</v>
      </c>
      <c r="J26" s="428"/>
      <c r="K26" s="149">
        <f>ROUNDUP((((J25/H26)*1.05)*E26),0)</f>
        <v>1</v>
      </c>
      <c r="L26" s="302" t="s">
        <v>13</v>
      </c>
      <c r="M26" s="50"/>
      <c r="N26" s="4"/>
      <c r="P26" s="182">
        <v>27</v>
      </c>
    </row>
    <row r="27" spans="1:16" ht="29" customHeight="1" thickBot="1" x14ac:dyDescent="0.3">
      <c r="A27" s="21"/>
      <c r="B27" s="21"/>
      <c r="C27" s="413" t="s">
        <v>193</v>
      </c>
      <c r="D27" s="414"/>
      <c r="E27" s="414"/>
      <c r="F27" s="414"/>
      <c r="G27" s="414"/>
      <c r="H27" s="414"/>
      <c r="I27" s="415"/>
      <c r="J27" s="428"/>
      <c r="K27" s="416"/>
      <c r="L27" s="417"/>
      <c r="M27" s="50"/>
      <c r="N27" s="4"/>
      <c r="P27" s="182">
        <v>28</v>
      </c>
    </row>
    <row r="28" spans="1:16" ht="19.5" customHeight="1" x14ac:dyDescent="0.25">
      <c r="A28" s="21"/>
      <c r="B28" s="21"/>
      <c r="C28" s="150"/>
      <c r="D28" s="364" t="str">
        <f>VLOOKUP(C16,DATA!B86:L90,8,0)</f>
        <v>Monopur Industry SL 4 mm - Kit X 33,5 kg</v>
      </c>
      <c r="E28" s="365"/>
      <c r="F28" s="365"/>
      <c r="G28" s="365"/>
      <c r="H28" s="365"/>
      <c r="I28" s="429"/>
      <c r="J28" s="428"/>
      <c r="K28" s="228"/>
      <c r="L28" s="181"/>
      <c r="M28" s="50"/>
      <c r="N28" s="4"/>
      <c r="P28" s="182">
        <v>29</v>
      </c>
    </row>
    <row r="29" spans="1:16" ht="20" customHeight="1" x14ac:dyDescent="0.25">
      <c r="A29" s="21"/>
      <c r="B29" s="21"/>
      <c r="C29" s="430" t="str">
        <f>VLOOKUP(C16,DATA!B86:L90,2,0)</f>
        <v>6615-2</v>
      </c>
      <c r="D29" s="99" t="s">
        <v>76</v>
      </c>
      <c r="E29" s="283">
        <v>1</v>
      </c>
      <c r="F29" s="283" t="str">
        <f>VLOOKUP(C16,DATA!B86:L90,5,0)</f>
        <v>Unidad x 8,5 kg 
(P/A + P/B)</v>
      </c>
      <c r="G29" s="387" t="s">
        <v>2</v>
      </c>
      <c r="H29" s="387">
        <f>VLOOKUP(C16,DATA!B86:L90,3,0)</f>
        <v>4.1900000000000004</v>
      </c>
      <c r="I29" s="387" t="s">
        <v>8</v>
      </c>
      <c r="J29" s="428"/>
      <c r="K29" s="8">
        <f>ROUNDUP(((J25/$H$29)*E29)*1.05,0)</f>
        <v>46</v>
      </c>
      <c r="L29" s="303" t="str">
        <f>F29</f>
        <v>Unidad x 8,5 kg 
(P/A + P/B)</v>
      </c>
      <c r="M29" s="50"/>
      <c r="N29" s="4"/>
      <c r="P29" s="182">
        <v>30</v>
      </c>
    </row>
    <row r="30" spans="1:16" ht="20.5" customHeight="1" x14ac:dyDescent="0.25">
      <c r="A30" s="21"/>
      <c r="B30" s="21"/>
      <c r="C30" s="430"/>
      <c r="D30" s="99" t="str">
        <f>VLOOKUP(C16,DATA!B86:L90,6,0)</f>
        <v>Monopur Filler SL 4mm</v>
      </c>
      <c r="E30" s="283">
        <v>1</v>
      </c>
      <c r="F30" s="282" t="str">
        <f>VLOOKUP(C16,DATA!B86:L90,4,0)</f>
        <v>Bolsa x 25 kg</v>
      </c>
      <c r="G30" s="387"/>
      <c r="H30" s="387"/>
      <c r="I30" s="387"/>
      <c r="J30" s="428"/>
      <c r="K30" s="8">
        <f>K29</f>
        <v>46</v>
      </c>
      <c r="L30" s="303" t="str">
        <f>F30</f>
        <v>Bolsa x 25 kg</v>
      </c>
      <c r="M30" s="50"/>
      <c r="N30" s="4"/>
      <c r="P30" s="182">
        <v>1</v>
      </c>
    </row>
    <row r="31" spans="1:16" ht="19.5" customHeight="1" x14ac:dyDescent="0.25">
      <c r="A31" s="21"/>
      <c r="B31" s="21"/>
      <c r="C31" s="285">
        <f>VLOOKUP(D31,DATA!B15:F22,2,0)</f>
        <v>6519</v>
      </c>
      <c r="D31" s="201" t="s">
        <v>210</v>
      </c>
      <c r="E31" s="283">
        <f>VLOOKUP(D31,DATA!B15:F22,5,0)</f>
        <v>1</v>
      </c>
      <c r="F31" s="283" t="s">
        <v>213</v>
      </c>
      <c r="G31" s="387"/>
      <c r="H31" s="387"/>
      <c r="I31" s="387"/>
      <c r="J31" s="394"/>
      <c r="K31" s="8">
        <f>K30*E31</f>
        <v>46</v>
      </c>
      <c r="L31" s="300" t="s">
        <v>213</v>
      </c>
      <c r="M31" s="50"/>
      <c r="N31" s="4"/>
      <c r="P31" s="182">
        <v>1</v>
      </c>
    </row>
    <row r="32" spans="1:16" ht="45" customHeight="1" thickBot="1" x14ac:dyDescent="0.3">
      <c r="A32" s="21"/>
      <c r="B32" s="21"/>
      <c r="C32" s="418" t="s">
        <v>194</v>
      </c>
      <c r="D32" s="419"/>
      <c r="E32" s="419"/>
      <c r="F32" s="419"/>
      <c r="G32" s="419"/>
      <c r="H32" s="419"/>
      <c r="I32" s="419"/>
      <c r="J32" s="419"/>
      <c r="K32" s="419"/>
      <c r="L32" s="420"/>
      <c r="M32" s="50"/>
      <c r="N32" s="4"/>
      <c r="P32" s="182">
        <v>1</v>
      </c>
    </row>
    <row r="33" spans="1:16" ht="18" customHeight="1" thickBot="1" x14ac:dyDescent="0.3">
      <c r="A33" s="21"/>
      <c r="B33" s="21"/>
      <c r="C33" s="318"/>
      <c r="D33" s="421" t="s">
        <v>97</v>
      </c>
      <c r="E33" s="422"/>
      <c r="F33" s="422"/>
      <c r="G33" s="422"/>
      <c r="H33" s="422"/>
      <c r="I33" s="422"/>
      <c r="J33" s="422"/>
      <c r="K33" s="422"/>
      <c r="L33" s="423"/>
      <c r="M33" s="50"/>
      <c r="N33" s="4"/>
      <c r="P33" s="182">
        <v>1</v>
      </c>
    </row>
    <row r="34" spans="1:16" ht="18.5" customHeight="1" x14ac:dyDescent="0.25">
      <c r="A34" s="21"/>
      <c r="B34" s="21"/>
      <c r="C34" s="308">
        <f>VLOOKUP(D34,DATA!B39:F53,2,0)</f>
        <v>4013</v>
      </c>
      <c r="D34" s="309" t="s">
        <v>26</v>
      </c>
      <c r="E34" s="310">
        <v>1</v>
      </c>
      <c r="F34" s="310" t="str">
        <f>VLOOKUP(D34,DATA!B39:F53,4,0)</f>
        <v>Bolsa x 50 Lb</v>
      </c>
      <c r="G34" s="310" t="s">
        <v>19</v>
      </c>
      <c r="H34" s="310">
        <f>VLOOKUP(D34,DATA!B39:G53,5,0)</f>
        <v>4.6399999999999997</v>
      </c>
      <c r="I34" s="310" t="s">
        <v>8</v>
      </c>
      <c r="J34" s="287">
        <v>0</v>
      </c>
      <c r="K34" s="310">
        <f>ROUNDUP(((($J$34/$H$34))*1.05)*$E$34,0)</f>
        <v>0</v>
      </c>
      <c r="L34" s="311" t="str">
        <f>VLOOKUP(D34,DATA!B39:F53,4,0)</f>
        <v>Bolsa x 50 Lb</v>
      </c>
      <c r="M34" s="50"/>
      <c r="N34" s="4"/>
      <c r="O34" s="48"/>
      <c r="P34" s="182">
        <v>1</v>
      </c>
    </row>
    <row r="35" spans="1:16" ht="27" customHeight="1" thickBot="1" x14ac:dyDescent="0.3">
      <c r="A35" s="21"/>
      <c r="B35" s="21"/>
      <c r="C35" s="424" t="s">
        <v>196</v>
      </c>
      <c r="D35" s="425"/>
      <c r="E35" s="425"/>
      <c r="F35" s="425"/>
      <c r="G35" s="425"/>
      <c r="H35" s="425"/>
      <c r="I35" s="425"/>
      <c r="J35" s="425"/>
      <c r="K35" s="425"/>
      <c r="L35" s="426"/>
      <c r="M35" s="50"/>
      <c r="N35" s="4"/>
      <c r="O35" s="48"/>
      <c r="P35" s="182">
        <v>1</v>
      </c>
    </row>
    <row r="36" spans="1:16" ht="21" customHeight="1" x14ac:dyDescent="0.25">
      <c r="A36" s="21"/>
      <c r="B36" s="21"/>
      <c r="C36" s="150"/>
      <c r="D36" s="364" t="s">
        <v>98</v>
      </c>
      <c r="E36" s="365"/>
      <c r="F36" s="365"/>
      <c r="G36" s="365"/>
      <c r="H36" s="365"/>
      <c r="I36" s="365"/>
      <c r="J36" s="365"/>
      <c r="K36" s="365"/>
      <c r="L36" s="366"/>
      <c r="M36" s="50"/>
      <c r="N36" s="4"/>
      <c r="O36" s="48"/>
      <c r="P36" s="182">
        <v>1</v>
      </c>
    </row>
    <row r="37" spans="1:16" ht="34" customHeight="1" x14ac:dyDescent="0.25">
      <c r="A37" s="21"/>
      <c r="B37" s="21"/>
      <c r="C37" s="52">
        <f>VLOOKUP(D37,DATA!B56:F64,2,0)</f>
        <v>4015</v>
      </c>
      <c r="D37" s="201" t="s">
        <v>41</v>
      </c>
      <c r="E37" s="283">
        <v>1</v>
      </c>
      <c r="F37" s="283" t="str">
        <f>VLOOKUP(D37,DATA!B56:F64,4,0)</f>
        <v>Kit x 1,5 Gal  -  
Unid x 17 Lb</v>
      </c>
      <c r="G37" s="386" t="s">
        <v>61</v>
      </c>
      <c r="H37" s="387">
        <f>VLOOKUP(D37,DATA!B56:F64,5,0)</f>
        <v>11.1</v>
      </c>
      <c r="I37" s="387" t="s">
        <v>8</v>
      </c>
      <c r="J37" s="388">
        <v>0</v>
      </c>
      <c r="K37" s="283">
        <f>ROUNDUP(((($J$37/$H$37))*1.05)*$E$37,0)</f>
        <v>0</v>
      </c>
      <c r="L37" s="304" t="str">
        <f>F37</f>
        <v>Kit x 1,5 Gal  -  
Unid x 17 Lb</v>
      </c>
      <c r="M37" s="50"/>
      <c r="N37" s="4"/>
      <c r="P37" s="182">
        <v>1</v>
      </c>
    </row>
    <row r="38" spans="1:16" ht="21.5" customHeight="1" x14ac:dyDescent="0.25">
      <c r="A38" s="21"/>
      <c r="B38" s="21"/>
      <c r="C38" s="52">
        <f>VLOOKUP(D38,DATA!B5:E11,2,0)</f>
        <v>5833</v>
      </c>
      <c r="D38" s="201" t="s">
        <v>230</v>
      </c>
      <c r="E38" s="283">
        <f>VLOOKUP(D37,DATA!B57:H64,7,0)</f>
        <v>1</v>
      </c>
      <c r="F38" s="283" t="s">
        <v>213</v>
      </c>
      <c r="G38" s="386"/>
      <c r="H38" s="387"/>
      <c r="I38" s="387"/>
      <c r="J38" s="388"/>
      <c r="K38" s="283">
        <f>K37*E38</f>
        <v>0</v>
      </c>
      <c r="L38" s="300" t="s">
        <v>213</v>
      </c>
      <c r="M38" s="50"/>
      <c r="N38" s="4"/>
      <c r="P38" s="182">
        <v>1</v>
      </c>
    </row>
    <row r="39" spans="1:16" ht="22" customHeight="1" thickBot="1" x14ac:dyDescent="0.3">
      <c r="A39" s="21"/>
      <c r="B39" s="21"/>
      <c r="C39" s="407" t="s">
        <v>134</v>
      </c>
      <c r="D39" s="408"/>
      <c r="E39" s="408"/>
      <c r="F39" s="408"/>
      <c r="G39" s="408"/>
      <c r="H39" s="408"/>
      <c r="I39" s="408"/>
      <c r="J39" s="408"/>
      <c r="K39" s="408"/>
      <c r="L39" s="409"/>
      <c r="M39" s="50"/>
      <c r="N39" s="4"/>
      <c r="P39" s="182">
        <v>1</v>
      </c>
    </row>
    <row r="40" spans="1:16" ht="22" customHeight="1" x14ac:dyDescent="0.25">
      <c r="A40" s="21"/>
      <c r="B40" s="249"/>
      <c r="C40" s="178"/>
      <c r="D40" s="178"/>
      <c r="E40" s="178"/>
      <c r="F40" s="178"/>
      <c r="G40" s="178"/>
      <c r="H40" s="178"/>
      <c r="I40" s="178"/>
      <c r="J40" s="178"/>
      <c r="K40" s="37"/>
      <c r="L40" s="18"/>
      <c r="M40" s="24"/>
      <c r="N40" s="4"/>
      <c r="O40" s="182">
        <v>1</v>
      </c>
      <c r="P40" s="48"/>
    </row>
    <row r="41" spans="1:16" ht="18" customHeight="1" x14ac:dyDescent="0.3">
      <c r="A41" s="21"/>
      <c r="B41" s="22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51"/>
      <c r="N41" s="4"/>
      <c r="O41" s="182"/>
    </row>
    <row r="42" spans="1:16" ht="18" customHeight="1" x14ac:dyDescent="0.3">
      <c r="A42" s="21"/>
      <c r="B42" s="22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53"/>
      <c r="N42" s="4"/>
    </row>
    <row r="43" spans="1:16" ht="20.5" customHeight="1" thickBot="1" x14ac:dyDescent="0.3">
      <c r="A43" s="21"/>
      <c r="B43" s="55" t="s">
        <v>231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53"/>
      <c r="N43" s="4"/>
    </row>
    <row r="44" spans="1:16" ht="17.5" x14ac:dyDescent="0.3">
      <c r="A44" s="21"/>
      <c r="B44" s="60" t="s">
        <v>20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7"/>
      <c r="N44" s="4"/>
      <c r="O44" s="18"/>
    </row>
    <row r="45" spans="1:16" ht="13.5" customHeight="1" x14ac:dyDescent="0.25">
      <c r="A45" s="21"/>
      <c r="B45" s="404" t="s">
        <v>22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6"/>
      <c r="N45" s="4"/>
      <c r="O45" s="54"/>
    </row>
    <row r="46" spans="1:16" ht="17.5" x14ac:dyDescent="0.25">
      <c r="A46" s="21"/>
      <c r="B46" s="404"/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6"/>
      <c r="N46" s="4"/>
      <c r="O46" s="54"/>
    </row>
    <row r="47" spans="1:16" ht="17.5" x14ac:dyDescent="0.25">
      <c r="A47" s="21"/>
      <c r="B47" s="401" t="s">
        <v>23</v>
      </c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3"/>
      <c r="N47" s="4"/>
      <c r="O47" s="16"/>
    </row>
    <row r="48" spans="1:16" ht="17.5" x14ac:dyDescent="0.35">
      <c r="A48" s="21"/>
      <c r="B48" s="23" t="s">
        <v>215</v>
      </c>
      <c r="C48" s="16"/>
      <c r="D48" s="16"/>
      <c r="E48" s="35"/>
      <c r="F48" s="89" t="s">
        <v>63</v>
      </c>
      <c r="G48" s="17"/>
      <c r="H48" s="17"/>
      <c r="I48" s="17"/>
      <c r="J48" s="17"/>
      <c r="K48" s="17"/>
      <c r="L48" s="17"/>
      <c r="M48" s="24"/>
      <c r="N48" s="4"/>
    </row>
    <row r="49" spans="1:16" ht="17.5" x14ac:dyDescent="0.35">
      <c r="A49" s="21"/>
      <c r="B49" s="25" t="s">
        <v>163</v>
      </c>
      <c r="C49" s="16"/>
      <c r="D49" s="16"/>
      <c r="E49" s="35"/>
      <c r="F49" s="90" t="s">
        <v>82</v>
      </c>
      <c r="G49" s="17"/>
      <c r="H49" s="17"/>
      <c r="I49" s="17"/>
      <c r="J49" s="17"/>
      <c r="K49" s="17"/>
      <c r="L49" s="17"/>
      <c r="M49" s="58"/>
      <c r="N49" s="4"/>
      <c r="O49" s="6"/>
    </row>
    <row r="50" spans="1:16" ht="17.5" x14ac:dyDescent="0.35">
      <c r="A50" s="21"/>
      <c r="B50" s="250" t="s">
        <v>164</v>
      </c>
      <c r="C50" s="18"/>
      <c r="D50" s="35"/>
      <c r="E50" s="35"/>
      <c r="F50" s="89" t="s">
        <v>83</v>
      </c>
      <c r="G50" s="17"/>
      <c r="H50" s="6"/>
      <c r="I50" s="17"/>
      <c r="J50" s="17"/>
      <c r="K50" s="17"/>
      <c r="L50" s="6"/>
      <c r="M50" s="58"/>
      <c r="N50" s="4"/>
      <c r="O50" s="6"/>
    </row>
    <row r="51" spans="1:16" ht="17.5" x14ac:dyDescent="0.35">
      <c r="A51" s="21"/>
      <c r="B51" s="23" t="s">
        <v>80</v>
      </c>
      <c r="C51" s="25"/>
      <c r="D51" s="35"/>
      <c r="E51" s="35"/>
      <c r="F51" s="90" t="s">
        <v>84</v>
      </c>
      <c r="G51" s="17"/>
      <c r="H51" s="6"/>
      <c r="I51" s="17"/>
      <c r="J51" s="17"/>
      <c r="K51" s="17"/>
      <c r="L51" s="6"/>
      <c r="M51" s="58"/>
      <c r="N51" s="4"/>
      <c r="O51" s="6"/>
    </row>
    <row r="52" spans="1:16" ht="17.5" x14ac:dyDescent="0.35">
      <c r="A52" s="21"/>
      <c r="B52" s="25" t="s">
        <v>78</v>
      </c>
      <c r="C52" s="25"/>
      <c r="D52" s="35"/>
      <c r="E52" s="35"/>
      <c r="F52" s="91" t="s">
        <v>64</v>
      </c>
      <c r="G52" s="17"/>
      <c r="H52" s="6"/>
      <c r="I52" s="17"/>
      <c r="J52" s="17"/>
      <c r="K52" s="17"/>
      <c r="L52" s="6"/>
      <c r="M52" s="58"/>
      <c r="N52" s="4"/>
      <c r="O52" s="6"/>
    </row>
    <row r="53" spans="1:16" ht="17.5" x14ac:dyDescent="0.35">
      <c r="A53" s="21"/>
      <c r="B53" s="23" t="s">
        <v>81</v>
      </c>
      <c r="C53" s="25"/>
      <c r="D53" s="6"/>
      <c r="E53" s="19"/>
      <c r="F53" s="92" t="s">
        <v>85</v>
      </c>
      <c r="G53" s="17"/>
      <c r="H53" s="6"/>
      <c r="I53" s="17"/>
      <c r="J53" s="17"/>
      <c r="K53" s="17"/>
      <c r="L53" s="6"/>
      <c r="M53" s="58"/>
      <c r="N53" s="4"/>
      <c r="O53" s="6"/>
    </row>
    <row r="54" spans="1:16" ht="17.5" x14ac:dyDescent="0.35">
      <c r="A54" s="21"/>
      <c r="B54" s="25" t="s">
        <v>79</v>
      </c>
      <c r="C54" s="36"/>
      <c r="D54" s="6"/>
      <c r="E54" s="16"/>
      <c r="F54" s="17"/>
      <c r="G54" s="17"/>
      <c r="H54" s="6"/>
      <c r="I54" s="17"/>
      <c r="J54" s="17"/>
      <c r="K54" s="17"/>
      <c r="L54" s="6"/>
      <c r="M54" s="58"/>
      <c r="N54" s="4"/>
      <c r="O54" s="6"/>
    </row>
    <row r="55" spans="1:16" ht="17.5" x14ac:dyDescent="0.35">
      <c r="A55" s="21"/>
      <c r="B55" s="25"/>
      <c r="C55" s="35"/>
      <c r="D55" s="6"/>
      <c r="E55" s="16"/>
      <c r="F55" s="17"/>
      <c r="G55" s="17"/>
      <c r="H55" s="6"/>
      <c r="I55" s="17"/>
      <c r="J55" s="17"/>
      <c r="K55" s="17"/>
      <c r="L55" s="6"/>
      <c r="M55" s="58"/>
      <c r="N55" s="4"/>
      <c r="O55" s="6"/>
    </row>
    <row r="56" spans="1:16" ht="17.5" x14ac:dyDescent="0.25">
      <c r="A56" s="21"/>
      <c r="B56" s="2"/>
      <c r="C56" s="6"/>
      <c r="D56" s="6"/>
      <c r="E56" s="6"/>
      <c r="F56" s="6"/>
      <c r="G56" s="6"/>
      <c r="H56" s="6"/>
      <c r="I56" s="6"/>
      <c r="J56" s="6"/>
      <c r="K56" s="17"/>
      <c r="L56" s="6"/>
      <c r="M56" s="3"/>
      <c r="N56" s="4"/>
      <c r="O56" s="6"/>
      <c r="P56" s="6"/>
    </row>
    <row r="57" spans="1:16" ht="17.5" x14ac:dyDescent="0.25">
      <c r="A57" s="21"/>
      <c r="B57" s="2"/>
      <c r="C57" s="6"/>
      <c r="D57" s="6"/>
      <c r="E57" s="6"/>
      <c r="F57" s="6"/>
      <c r="G57" s="6"/>
      <c r="H57" s="6"/>
      <c r="I57" s="6"/>
      <c r="J57" s="6"/>
      <c r="K57" s="17"/>
      <c r="L57" s="6"/>
      <c r="M57" s="3"/>
      <c r="N57" s="4"/>
      <c r="O57" s="6"/>
      <c r="P57" s="6"/>
    </row>
    <row r="58" spans="1:16" ht="17.5" x14ac:dyDescent="0.25">
      <c r="A58" s="21"/>
      <c r="B58" s="2"/>
      <c r="C58" s="6"/>
      <c r="D58" s="6"/>
      <c r="E58" s="6"/>
      <c r="F58" s="6"/>
      <c r="G58" s="6"/>
      <c r="H58" s="6"/>
      <c r="I58" s="6"/>
      <c r="J58" s="6"/>
      <c r="K58" s="17"/>
      <c r="L58" s="6"/>
      <c r="M58" s="3"/>
      <c r="N58" s="4"/>
      <c r="O58" s="6"/>
      <c r="P58" s="6"/>
    </row>
    <row r="59" spans="1:16" ht="17.5" x14ac:dyDescent="0.25">
      <c r="A59" s="21"/>
      <c r="B59" s="2"/>
      <c r="C59" s="6"/>
      <c r="D59" s="6"/>
      <c r="E59" s="6"/>
      <c r="F59" s="6"/>
      <c r="G59" s="6"/>
      <c r="H59" s="6"/>
      <c r="I59" s="6"/>
      <c r="J59" s="6"/>
      <c r="K59" s="17"/>
      <c r="L59" s="6"/>
      <c r="M59" s="3"/>
      <c r="N59" s="4"/>
      <c r="O59" s="6"/>
      <c r="P59" s="6"/>
    </row>
    <row r="60" spans="1:16" ht="17.5" x14ac:dyDescent="0.25">
      <c r="A60" s="21"/>
      <c r="B60" s="2"/>
      <c r="C60" s="6"/>
      <c r="D60" s="6"/>
      <c r="E60" s="6"/>
      <c r="F60" s="6"/>
      <c r="G60" s="6"/>
      <c r="H60" s="6"/>
      <c r="I60" s="6"/>
      <c r="J60" s="6"/>
      <c r="K60" s="17"/>
      <c r="L60" s="6"/>
      <c r="M60" s="3"/>
      <c r="N60" s="4"/>
      <c r="O60" s="6"/>
      <c r="P60" s="6"/>
    </row>
    <row r="61" spans="1:16" ht="17.5" x14ac:dyDescent="0.25">
      <c r="B61" s="2"/>
      <c r="C61" s="6"/>
      <c r="D61" s="6"/>
      <c r="E61" s="6"/>
      <c r="F61" s="6"/>
      <c r="G61" s="6"/>
      <c r="H61" s="6"/>
      <c r="I61" s="6"/>
      <c r="J61" s="6"/>
      <c r="K61" s="17"/>
      <c r="L61" s="6"/>
      <c r="M61" s="3"/>
      <c r="N61" s="4"/>
      <c r="O61" s="6"/>
      <c r="P61" s="6"/>
    </row>
    <row r="62" spans="1:16" ht="77" customHeight="1" thickBot="1" x14ac:dyDescent="0.3">
      <c r="B62" s="155"/>
      <c r="C62" s="156"/>
      <c r="D62" s="156"/>
      <c r="E62" s="156"/>
      <c r="F62" s="156"/>
      <c r="G62" s="156"/>
      <c r="H62" s="156"/>
      <c r="I62" s="156"/>
      <c r="J62" s="156"/>
      <c r="K62" s="158"/>
      <c r="L62" s="156"/>
      <c r="M62" s="157"/>
      <c r="N62" s="4"/>
      <c r="O62" s="6"/>
      <c r="P62" s="6"/>
    </row>
    <row r="63" spans="1:16" ht="17.5" x14ac:dyDescent="0.25">
      <c r="E63" s="1"/>
      <c r="N63" s="4"/>
    </row>
    <row r="64" spans="1:16" ht="17.5" x14ac:dyDescent="0.25">
      <c r="E64" s="1"/>
      <c r="N64" s="4"/>
    </row>
    <row r="65" spans="5:14" ht="17.5" x14ac:dyDescent="0.25">
      <c r="E65" s="1"/>
      <c r="N65" s="4"/>
    </row>
    <row r="66" spans="5:14" ht="17.5" x14ac:dyDescent="0.25">
      <c r="E66" s="1"/>
      <c r="N66" s="4"/>
    </row>
    <row r="67" spans="5:14" ht="17.5" x14ac:dyDescent="0.25">
      <c r="E67" s="1"/>
      <c r="N67" s="4"/>
    </row>
    <row r="68" spans="5:14" ht="17.5" x14ac:dyDescent="0.25">
      <c r="E68" s="1"/>
      <c r="N68" s="4"/>
    </row>
    <row r="69" spans="5:14" ht="17.5" x14ac:dyDescent="0.25">
      <c r="E69" s="1"/>
      <c r="N69" s="4"/>
    </row>
    <row r="70" spans="5:14" ht="17.5" x14ac:dyDescent="0.25">
      <c r="E70" s="1"/>
      <c r="N70" s="4"/>
    </row>
    <row r="71" spans="5:14" ht="17.5" x14ac:dyDescent="0.25">
      <c r="E71" s="1"/>
      <c r="N71" s="4"/>
    </row>
    <row r="72" spans="5:14" ht="17.5" x14ac:dyDescent="0.25">
      <c r="E72" s="1"/>
      <c r="N72" s="4"/>
    </row>
    <row r="73" spans="5:14" x14ac:dyDescent="0.25">
      <c r="E73" s="1"/>
    </row>
    <row r="74" spans="5:14" x14ac:dyDescent="0.25">
      <c r="E74" s="1"/>
    </row>
    <row r="75" spans="5:14" x14ac:dyDescent="0.25">
      <c r="E75" s="1"/>
    </row>
    <row r="76" spans="5:14" x14ac:dyDescent="0.25">
      <c r="E76" s="1"/>
    </row>
    <row r="77" spans="5:14" x14ac:dyDescent="0.25">
      <c r="E77" s="1"/>
    </row>
    <row r="78" spans="5:14" x14ac:dyDescent="0.25">
      <c r="E78" s="1"/>
    </row>
    <row r="79" spans="5:14" x14ac:dyDescent="0.25">
      <c r="E79" s="1"/>
    </row>
    <row r="80" spans="5:14" x14ac:dyDescent="0.25">
      <c r="E80" s="1"/>
    </row>
  </sheetData>
  <sheetProtection algorithmName="SHA-512" hashValue="d4En+qu+a4Vsd6aFmsbktQ62yIKfa/FEXVsgqk/vBh5H9MEpitCJ6Mrltc5Z2a/yCBReUDCiN69Lr8A7Nlzgbg==" saltValue="ueh22aAOeWq0mG0tBLk5Tg==" spinCount="100000" sheet="1" selectLockedCells="1"/>
  <protectedRanges>
    <protectedRange sqref="C16" name="Seleccion Sistema"/>
    <protectedRange sqref="D25" name="Seleccion Primer"/>
    <protectedRange sqref="J25" name="Seleccion Area Sistema"/>
    <protectedRange sqref="D31" name="Seleccion Color Sistema"/>
    <protectedRange sqref="D34" name="Seleccion Acabado Antideslizante"/>
    <protectedRange sqref="J34" name="Seleccion Area antideslizante"/>
    <protectedRange sqref="D37" name="Seleccion Sello Sistema"/>
    <protectedRange sqref="J37" name="Seleccion Area Sello"/>
    <protectedRange sqref="D38" name="Seleccion Color Sello"/>
    <protectedRange sqref="B49:E50" name="Hoja Tecnica 1"/>
    <protectedRange sqref="B52:C52" name="Hoja Tecnica 2"/>
    <protectedRange sqref="B54:E54" name="Hoja Tecnica 3"/>
    <protectedRange sqref="F49:L49" name="Tabla Resistencia Quimicas"/>
    <protectedRange sqref="F51:L51" name="Guia para la instalacion"/>
    <protectedRange sqref="F53:K53" name="Detalles Constructivos"/>
  </protectedRanges>
  <mergeCells count="28">
    <mergeCell ref="K23:L23"/>
    <mergeCell ref="C12:D13"/>
    <mergeCell ref="C14:D14"/>
    <mergeCell ref="C15:D15"/>
    <mergeCell ref="C16:D16"/>
    <mergeCell ref="C17:D20"/>
    <mergeCell ref="E23:F23"/>
    <mergeCell ref="G23:I23"/>
    <mergeCell ref="B47:M47"/>
    <mergeCell ref="B45:M46"/>
    <mergeCell ref="G29:G31"/>
    <mergeCell ref="G37:G38"/>
    <mergeCell ref="H37:H38"/>
    <mergeCell ref="I37:I38"/>
    <mergeCell ref="J37:J38"/>
    <mergeCell ref="H29:H31"/>
    <mergeCell ref="I29:I31"/>
    <mergeCell ref="C35:L35"/>
    <mergeCell ref="D36:L36"/>
    <mergeCell ref="J25:J31"/>
    <mergeCell ref="D28:I28"/>
    <mergeCell ref="C29:C30"/>
    <mergeCell ref="C39:L39"/>
    <mergeCell ref="D24:L24"/>
    <mergeCell ref="C27:I27"/>
    <mergeCell ref="K27:L27"/>
    <mergeCell ref="C32:L32"/>
    <mergeCell ref="D33:L33"/>
  </mergeCells>
  <hyperlinks>
    <hyperlink ref="B54" r:id="rId1" xr:uid="{00000000-0004-0000-0600-000000000000}"/>
    <hyperlink ref="F49" r:id="rId2" xr:uid="{00000000-0004-0000-0600-000001000000}"/>
    <hyperlink ref="F53" r:id="rId3" xr:uid="{00000000-0004-0000-0600-000002000000}"/>
    <hyperlink ref="B49" r:id="rId4" xr:uid="{00000000-0004-0000-0600-000003000000}"/>
    <hyperlink ref="B50" r:id="rId5" xr:uid="{00000000-0004-0000-0600-000004000000}"/>
  </hyperlinks>
  <printOptions horizontalCentered="1"/>
  <pageMargins left="0.70866141732283472" right="0.70866141732283472" top="0.74803149606299213" bottom="0.74803149606299213" header="0.31496062992125984" footer="0.31496062992125984"/>
  <pageSetup scale="38" orientation="portrait" r:id="rId6"/>
  <drawing r:id="rId7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600-000000000000}">
          <x14:formula1>
            <xm:f>DATA!$B$57:$B$64</xm:f>
          </x14:formula1>
          <xm:sqref>D37</xm:sqref>
        </x14:dataValidation>
        <x14:dataValidation type="list" allowBlank="1" showInputMessage="1" showErrorMessage="1" xr:uid="{00000000-0002-0000-0600-000001000000}">
          <x14:formula1>
            <xm:f>DATA!$B$39:$B$53</xm:f>
          </x14:formula1>
          <xm:sqref>D34</xm:sqref>
        </x14:dataValidation>
        <x14:dataValidation type="list" allowBlank="1" showInputMessage="1" showErrorMessage="1" xr:uid="{00000000-0002-0000-0600-000002000000}">
          <x14:formula1>
            <xm:f>DATA!$B$15:$B$22</xm:f>
          </x14:formula1>
          <xm:sqref>D31</xm:sqref>
        </x14:dataValidation>
        <x14:dataValidation type="list" allowBlank="1" showInputMessage="1" showErrorMessage="1" xr:uid="{00000000-0002-0000-0600-000003000000}">
          <x14:formula1>
            <xm:f>DATA!$B$26:$B$28</xm:f>
          </x14:formula1>
          <xm:sqref>D25</xm:sqref>
        </x14:dataValidation>
        <x14:dataValidation type="list" allowBlank="1" showInputMessage="1" showErrorMessage="1" xr:uid="{00000000-0002-0000-0600-000004000000}">
          <x14:formula1>
            <xm:f>DATA!$B$86:$B$90</xm:f>
          </x14:formula1>
          <xm:sqref>C16:D16</xm:sqref>
        </x14:dataValidation>
        <x14:dataValidation type="list" allowBlank="1" showInputMessage="1" showErrorMessage="1" xr:uid="{00000000-0002-0000-0600-000005000000}">
          <x14:formula1>
            <xm:f>DATA!$B$5:$B$11</xm:f>
          </x14:formula1>
          <xm:sqref>D38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HX110"/>
  <sheetViews>
    <sheetView view="pageBreakPreview" topLeftCell="A26" zoomScale="60" zoomScaleNormal="80" zoomScalePageLayoutView="90" workbookViewId="0">
      <selection activeCell="C53" sqref="C53"/>
    </sheetView>
  </sheetViews>
  <sheetFormatPr baseColWidth="10" defaultColWidth="14.453125" defaultRowHeight="0" customHeight="1" zeroHeight="1" x14ac:dyDescent="0.25"/>
  <cols>
    <col min="1" max="1" width="3.7265625" style="106" customWidth="1"/>
    <col min="2" max="2" width="5.6328125" style="106" customWidth="1"/>
    <col min="3" max="3" width="6.08984375" style="111" customWidth="1"/>
    <col min="4" max="4" width="15.7265625" style="106" customWidth="1"/>
    <col min="5" max="5" width="26" style="111" customWidth="1"/>
    <col min="6" max="6" width="35.453125" style="111" customWidth="1"/>
    <col min="7" max="7" width="11.6328125" style="111" customWidth="1"/>
    <col min="8" max="8" width="12.08984375" style="106" customWidth="1"/>
    <col min="9" max="9" width="9.81640625" style="111" customWidth="1"/>
    <col min="10" max="10" width="13.26953125" style="111" customWidth="1"/>
    <col min="11" max="11" width="13.90625" style="106" customWidth="1"/>
    <col min="12" max="12" width="19.90625" style="111" customWidth="1"/>
    <col min="13" max="13" width="20.08984375" style="106" customWidth="1"/>
    <col min="14" max="14" width="22.54296875" style="106" customWidth="1"/>
    <col min="15" max="15" width="21" style="106" customWidth="1"/>
    <col min="16" max="16" width="14.90625" style="106" bestFit="1" customWidth="1"/>
    <col min="17" max="4962" width="8.36328125" style="106" customWidth="1"/>
    <col min="4963" max="4963" width="22.54296875" style="106" customWidth="1"/>
    <col min="4964" max="4964" width="19.81640625" style="106" customWidth="1"/>
    <col min="4965" max="4965" width="8.26953125" style="106" customWidth="1"/>
    <col min="4966" max="4966" width="6.7265625" style="106" customWidth="1"/>
    <col min="4967" max="4967" width="5.26953125" style="106" customWidth="1"/>
    <col min="4968" max="4968" width="7.36328125" style="106" customWidth="1"/>
    <col min="4969" max="4969" width="4.08984375" style="106" customWidth="1"/>
    <col min="4970" max="4970" width="4.453125" style="106" customWidth="1"/>
    <col min="4971" max="4971" width="17.26953125" style="106" customWidth="1"/>
    <col min="4972" max="6103" width="14.453125" style="106" customWidth="1"/>
    <col min="6104" max="16384" width="14.453125" style="106"/>
  </cols>
  <sheetData>
    <row r="1" spans="2:15" ht="16.5" customHeight="1" x14ac:dyDescent="0.25">
      <c r="B1" s="103"/>
      <c r="C1" s="104"/>
      <c r="D1" s="105"/>
      <c r="E1" s="104"/>
      <c r="F1" s="104"/>
      <c r="G1" s="104"/>
      <c r="H1" s="105"/>
      <c r="I1" s="104"/>
      <c r="J1" s="104"/>
      <c r="K1" s="105"/>
      <c r="L1" s="104"/>
      <c r="M1" s="105"/>
      <c r="N1" s="105"/>
      <c r="O1" s="161"/>
    </row>
    <row r="2" spans="2:15" ht="16.5" customHeight="1" x14ac:dyDescent="0.25">
      <c r="B2" s="107"/>
      <c r="C2" s="127"/>
      <c r="D2" s="119"/>
      <c r="E2" s="127"/>
      <c r="F2" s="127"/>
      <c r="G2" s="127"/>
      <c r="H2" s="119"/>
      <c r="I2" s="127"/>
      <c r="J2" s="127"/>
      <c r="K2" s="119"/>
      <c r="L2" s="127"/>
      <c r="M2" s="119"/>
      <c r="N2" s="119"/>
      <c r="O2" s="162"/>
    </row>
    <row r="3" spans="2:15" ht="119" customHeight="1" x14ac:dyDescent="0.25">
      <c r="B3" s="452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162"/>
    </row>
    <row r="4" spans="2:15" ht="54.5" customHeight="1" x14ac:dyDescent="0.25">
      <c r="B4" s="110"/>
      <c r="C4" s="131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62"/>
    </row>
    <row r="5" spans="2:15" ht="15" customHeight="1" x14ac:dyDescent="0.25">
      <c r="B5" s="110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62"/>
    </row>
    <row r="6" spans="2:15" ht="15" customHeight="1" x14ac:dyDescent="0.25">
      <c r="B6" s="118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62"/>
    </row>
    <row r="7" spans="2:15" ht="15" customHeight="1" x14ac:dyDescent="0.25">
      <c r="B7" s="118"/>
      <c r="C7" s="226"/>
      <c r="D7" s="152"/>
      <c r="E7" s="152"/>
      <c r="F7" s="152"/>
      <c r="G7" s="152"/>
      <c r="H7" s="152"/>
      <c r="I7" s="244"/>
      <c r="J7" s="120"/>
      <c r="K7" s="319"/>
      <c r="L7" s="319"/>
      <c r="M7" s="320"/>
      <c r="N7" s="320"/>
      <c r="O7" s="162"/>
    </row>
    <row r="8" spans="2:15" ht="15" customHeight="1" x14ac:dyDescent="0.25">
      <c r="B8" s="118"/>
      <c r="C8" s="226"/>
      <c r="D8" s="152"/>
      <c r="E8" s="152"/>
      <c r="F8" s="152"/>
      <c r="G8" s="152"/>
      <c r="H8" s="152"/>
      <c r="I8" s="244"/>
      <c r="J8" s="120"/>
      <c r="K8" s="321"/>
      <c r="L8" s="321"/>
      <c r="M8" s="305"/>
      <c r="N8" s="305"/>
      <c r="O8" s="162"/>
    </row>
    <row r="9" spans="2:15" ht="15" customHeight="1" x14ac:dyDescent="0.25">
      <c r="B9" s="118"/>
      <c r="C9" s="226"/>
      <c r="D9" s="152"/>
      <c r="E9" s="152"/>
      <c r="F9" s="152"/>
      <c r="G9" s="152"/>
      <c r="H9" s="152"/>
      <c r="I9" s="244"/>
      <c r="J9" s="120"/>
      <c r="K9" s="321"/>
      <c r="L9" s="321"/>
      <c r="M9" s="305"/>
      <c r="N9" s="305"/>
      <c r="O9" s="162"/>
    </row>
    <row r="10" spans="2:15" ht="15" customHeight="1" x14ac:dyDescent="0.25">
      <c r="B10" s="118"/>
      <c r="C10" s="226"/>
      <c r="D10" s="152"/>
      <c r="E10" s="152"/>
      <c r="F10" s="152"/>
      <c r="G10" s="152"/>
      <c r="H10" s="152"/>
      <c r="I10" s="244"/>
      <c r="J10" s="120"/>
      <c r="K10" s="245"/>
      <c r="L10" s="245"/>
      <c r="M10" s="295"/>
      <c r="N10" s="295"/>
      <c r="O10" s="162"/>
    </row>
    <row r="11" spans="2:15" ht="15" customHeight="1" x14ac:dyDescent="0.25"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62"/>
    </row>
    <row r="12" spans="2:15" ht="15" customHeight="1" x14ac:dyDescent="0.25">
      <c r="B12" s="110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62"/>
    </row>
    <row r="13" spans="2:15" ht="15" customHeight="1" x14ac:dyDescent="0.25">
      <c r="B13" s="110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62"/>
    </row>
    <row r="14" spans="2:15" ht="15" customHeight="1" x14ac:dyDescent="0.25">
      <c r="B14" s="110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62"/>
    </row>
    <row r="15" spans="2:15" ht="15.75" customHeight="1" x14ac:dyDescent="0.25">
      <c r="B15" s="118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62"/>
    </row>
    <row r="16" spans="2:15" ht="15.75" customHeight="1" x14ac:dyDescent="0.25">
      <c r="B16" s="118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62"/>
    </row>
    <row r="17" spans="2:17 4964:4964" ht="15.75" customHeight="1" x14ac:dyDescent="0.25">
      <c r="B17" s="118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62"/>
    </row>
    <row r="18" spans="2:17 4964:4964" ht="19.5" customHeight="1" x14ac:dyDescent="0.25">
      <c r="B18" s="118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62"/>
    </row>
    <row r="19" spans="2:17 4964:4964" ht="40.5" customHeight="1" thickBot="1" x14ac:dyDescent="0.35">
      <c r="B19" s="110"/>
      <c r="C19" s="131"/>
      <c r="D19" s="120"/>
      <c r="E19" s="120"/>
      <c r="F19" s="120"/>
      <c r="G19" s="127"/>
      <c r="H19" s="434"/>
      <c r="I19" s="434"/>
      <c r="J19" s="294"/>
      <c r="K19" s="164"/>
      <c r="L19" s="121"/>
      <c r="M19" s="163"/>
      <c r="N19" s="121"/>
      <c r="O19" s="162"/>
    </row>
    <row r="20" spans="2:17 4964:4964" ht="15" customHeight="1" thickBot="1" x14ac:dyDescent="0.3">
      <c r="B20" s="107"/>
      <c r="C20" s="127"/>
      <c r="D20" s="119"/>
      <c r="E20" s="127"/>
      <c r="F20" s="127"/>
      <c r="G20" s="127"/>
      <c r="H20" s="214" t="s">
        <v>101</v>
      </c>
      <c r="I20" s="215"/>
      <c r="J20" s="215"/>
      <c r="K20" s="215"/>
      <c r="L20" s="215"/>
      <c r="M20" s="215"/>
      <c r="N20" s="216"/>
      <c r="O20" s="162"/>
    </row>
    <row r="21" spans="2:17 4964:4964" ht="51" customHeight="1" x14ac:dyDescent="0.25">
      <c r="B21" s="107"/>
      <c r="C21" s="127"/>
      <c r="D21" s="119"/>
      <c r="E21" s="127"/>
      <c r="F21" s="127"/>
      <c r="G21" s="127"/>
      <c r="H21" s="123" t="s">
        <v>102</v>
      </c>
      <c r="I21" s="124" t="s">
        <v>103</v>
      </c>
      <c r="J21" s="124" t="s">
        <v>104</v>
      </c>
      <c r="K21" s="124" t="s">
        <v>105</v>
      </c>
      <c r="L21" s="125" t="s">
        <v>106</v>
      </c>
      <c r="M21" s="126" t="s">
        <v>107</v>
      </c>
      <c r="N21" s="125" t="s">
        <v>108</v>
      </c>
      <c r="O21" s="162"/>
    </row>
    <row r="22" spans="2:17 4964:4964" ht="40.5" customHeight="1" thickBot="1" x14ac:dyDescent="0.3">
      <c r="B22" s="107"/>
      <c r="C22" s="127"/>
      <c r="D22" s="119"/>
      <c r="E22" s="127"/>
      <c r="F22" s="127"/>
      <c r="G22" s="127"/>
      <c r="H22" s="112">
        <v>6</v>
      </c>
      <c r="I22" s="113">
        <v>6</v>
      </c>
      <c r="J22" s="113">
        <v>6</v>
      </c>
      <c r="K22" s="113">
        <v>4</v>
      </c>
      <c r="L22" s="114">
        <v>100</v>
      </c>
      <c r="M22" s="115">
        <f>((H22/10)*(I22+J22)-(H22/10)^2+(K22^2)*(1-PI()*0.25))</f>
        <v>10.273629385640827</v>
      </c>
      <c r="N22" s="116">
        <f>(PI()/2*(((I22^2+J22^2)/2)^0.5))/100*L22</f>
        <v>9.4247779607693793</v>
      </c>
      <c r="O22" s="162"/>
    </row>
    <row r="23" spans="2:17 4964:4964" ht="56.5" customHeight="1" thickBot="1" x14ac:dyDescent="0.3">
      <c r="B23" s="107"/>
      <c r="C23" s="127"/>
      <c r="D23" s="119"/>
      <c r="E23" s="127"/>
      <c r="F23" s="127"/>
      <c r="G23" s="163"/>
      <c r="H23" s="434"/>
      <c r="I23" s="434"/>
      <c r="J23" s="434"/>
      <c r="K23" s="434"/>
      <c r="L23" s="434"/>
      <c r="M23" s="434"/>
      <c r="N23" s="434"/>
      <c r="O23" s="435"/>
    </row>
    <row r="24" spans="2:17 4964:4964" ht="21.5" customHeight="1" x14ac:dyDescent="0.25">
      <c r="B24" s="107"/>
      <c r="C24" s="119"/>
      <c r="D24" s="431" t="s">
        <v>218</v>
      </c>
      <c r="E24" s="432"/>
      <c r="F24" s="432"/>
      <c r="G24" s="432"/>
      <c r="H24" s="432"/>
      <c r="I24" s="432"/>
      <c r="J24" s="432"/>
      <c r="K24" s="432"/>
      <c r="L24" s="432"/>
      <c r="M24" s="432"/>
      <c r="N24" s="433"/>
      <c r="O24" s="162"/>
    </row>
    <row r="25" spans="2:17 4964:4964" ht="38" customHeight="1" thickBot="1" x14ac:dyDescent="0.3">
      <c r="B25" s="107"/>
      <c r="C25" s="119"/>
      <c r="D25" s="137" t="s">
        <v>109</v>
      </c>
      <c r="E25" s="129" t="s">
        <v>110</v>
      </c>
      <c r="F25" s="296" t="s">
        <v>0</v>
      </c>
      <c r="G25" s="454" t="s">
        <v>111</v>
      </c>
      <c r="H25" s="454"/>
      <c r="I25" s="454"/>
      <c r="J25" s="454" t="s">
        <v>1</v>
      </c>
      <c r="K25" s="454"/>
      <c r="L25" s="296" t="s">
        <v>112</v>
      </c>
      <c r="M25" s="455" t="s">
        <v>113</v>
      </c>
      <c r="N25" s="456"/>
      <c r="O25" s="162"/>
    </row>
    <row r="26" spans="2:17 4964:4964" ht="14" customHeight="1" x14ac:dyDescent="0.25">
      <c r="B26" s="107"/>
      <c r="C26" s="119"/>
      <c r="D26" s="461" t="s">
        <v>127</v>
      </c>
      <c r="E26" s="322" t="s">
        <v>114</v>
      </c>
      <c r="F26" s="323"/>
      <c r="G26" s="323"/>
      <c r="H26" s="323"/>
      <c r="I26" s="323"/>
      <c r="J26" s="323"/>
      <c r="K26" s="323"/>
      <c r="L26" s="323"/>
      <c r="M26" s="323"/>
      <c r="N26" s="324"/>
      <c r="O26" s="162"/>
    </row>
    <row r="27" spans="2:17 4964:4964" ht="17.5" customHeight="1" x14ac:dyDescent="0.25">
      <c r="B27" s="107"/>
      <c r="C27" s="119"/>
      <c r="D27" s="461"/>
      <c r="E27" s="291">
        <v>6557</v>
      </c>
      <c r="F27" s="128" t="s">
        <v>115</v>
      </c>
      <c r="G27" s="288">
        <v>1</v>
      </c>
      <c r="H27" s="448" t="s">
        <v>116</v>
      </c>
      <c r="I27" s="448"/>
      <c r="J27" s="290">
        <v>0.4</v>
      </c>
      <c r="K27" s="290" t="s">
        <v>117</v>
      </c>
      <c r="L27" s="460">
        <f>ROUNDUP(((J22+I22)/100)*L22,0)</f>
        <v>12</v>
      </c>
      <c r="M27" s="289">
        <f>ROUNDUP(((L27*J27)/3)*1.05,0)</f>
        <v>2</v>
      </c>
      <c r="N27" s="331" t="s">
        <v>118</v>
      </c>
      <c r="O27" s="162"/>
    </row>
    <row r="28" spans="2:17 4964:4964" ht="15" customHeight="1" x14ac:dyDescent="0.25">
      <c r="B28" s="107"/>
      <c r="C28" s="119"/>
      <c r="D28" s="461"/>
      <c r="E28" s="291">
        <v>2014</v>
      </c>
      <c r="F28" s="128" t="s">
        <v>119</v>
      </c>
      <c r="G28" s="288">
        <v>1</v>
      </c>
      <c r="H28" s="448" t="s">
        <v>13</v>
      </c>
      <c r="I28" s="448"/>
      <c r="J28" s="290">
        <v>0.15</v>
      </c>
      <c r="K28" s="290" t="s">
        <v>117</v>
      </c>
      <c r="L28" s="460"/>
      <c r="M28" s="289">
        <f>ROUNDUP(((L27*J28)/30)*1.05,0)</f>
        <v>1</v>
      </c>
      <c r="N28" s="331" t="s">
        <v>18</v>
      </c>
      <c r="O28" s="162"/>
    </row>
    <row r="29" spans="2:17 4964:4964" ht="26.5" customHeight="1" thickBot="1" x14ac:dyDescent="0.3">
      <c r="B29" s="107"/>
      <c r="C29" s="119"/>
      <c r="D29" s="461"/>
      <c r="E29" s="457"/>
      <c r="F29" s="458"/>
      <c r="G29" s="458"/>
      <c r="H29" s="458"/>
      <c r="I29" s="458"/>
      <c r="J29" s="458"/>
      <c r="K29" s="458"/>
      <c r="L29" s="458"/>
      <c r="M29" s="458"/>
      <c r="N29" s="459"/>
      <c r="O29" s="162"/>
      <c r="Q29" s="132"/>
      <c r="GHX29" s="132" t="e">
        <f>P29-(P29*#REF!)</f>
        <v>#REF!</v>
      </c>
    </row>
    <row r="30" spans="2:17 4964:4964" ht="15" customHeight="1" x14ac:dyDescent="0.25">
      <c r="B30" s="107"/>
      <c r="C30" s="119"/>
      <c r="D30" s="461"/>
      <c r="E30" s="328" t="s">
        <v>120</v>
      </c>
      <c r="F30" s="329"/>
      <c r="G30" s="329"/>
      <c r="H30" s="329"/>
      <c r="I30" s="329"/>
      <c r="J30" s="329"/>
      <c r="K30" s="329"/>
      <c r="L30" s="329"/>
      <c r="M30" s="329"/>
      <c r="N30" s="330"/>
      <c r="O30" s="162"/>
    </row>
    <row r="31" spans="2:17 4964:4964" ht="18" customHeight="1" x14ac:dyDescent="0.25">
      <c r="B31" s="107"/>
      <c r="C31" s="119"/>
      <c r="D31" s="461"/>
      <c r="E31" s="450">
        <v>6612</v>
      </c>
      <c r="F31" s="128" t="s">
        <v>76</v>
      </c>
      <c r="G31" s="288">
        <v>1</v>
      </c>
      <c r="H31" s="448" t="s">
        <v>157</v>
      </c>
      <c r="I31" s="448"/>
      <c r="J31" s="451">
        <v>4.6500000000000004</v>
      </c>
      <c r="K31" s="448" t="s">
        <v>121</v>
      </c>
      <c r="L31" s="449">
        <f>((L22*M22/10000))*1000</f>
        <v>102.73629385640827</v>
      </c>
      <c r="M31" s="446">
        <f>ROUNDUP((L31/J31)*1.05,0)</f>
        <v>24</v>
      </c>
      <c r="N31" s="447" t="s">
        <v>122</v>
      </c>
      <c r="O31" s="162"/>
    </row>
    <row r="32" spans="2:17 4964:4964" ht="18" customHeight="1" x14ac:dyDescent="0.25">
      <c r="B32" s="107"/>
      <c r="C32" s="119"/>
      <c r="D32" s="461"/>
      <c r="E32" s="450"/>
      <c r="F32" s="128" t="s">
        <v>159</v>
      </c>
      <c r="G32" s="288">
        <v>1</v>
      </c>
      <c r="H32" s="448" t="s">
        <v>123</v>
      </c>
      <c r="I32" s="448"/>
      <c r="J32" s="451"/>
      <c r="K32" s="448"/>
      <c r="L32" s="449"/>
      <c r="M32" s="446"/>
      <c r="N32" s="447"/>
      <c r="O32" s="162"/>
    </row>
    <row r="33" spans="2:17 4963:4964" ht="21" customHeight="1" x14ac:dyDescent="0.25">
      <c r="B33" s="107"/>
      <c r="C33" s="119"/>
      <c r="D33" s="461"/>
      <c r="E33" s="130">
        <f>VLOOKUP(F33,DATA!B15:F22,2,0)</f>
        <v>6513</v>
      </c>
      <c r="F33" s="267" t="s">
        <v>204</v>
      </c>
      <c r="G33" s="288">
        <v>1</v>
      </c>
      <c r="H33" s="448" t="s">
        <v>213</v>
      </c>
      <c r="I33" s="448"/>
      <c r="J33" s="451"/>
      <c r="K33" s="448"/>
      <c r="L33" s="449"/>
      <c r="M33" s="289">
        <f>ROUNDUP(((M31*0.4)/0.4),0)</f>
        <v>24</v>
      </c>
      <c r="N33" s="332" t="s">
        <v>213</v>
      </c>
      <c r="O33" s="162"/>
    </row>
    <row r="34" spans="2:17 4963:4964" ht="27.5" customHeight="1" thickBot="1" x14ac:dyDescent="0.3">
      <c r="B34" s="107"/>
      <c r="C34" s="119"/>
      <c r="D34" s="461"/>
      <c r="E34" s="466"/>
      <c r="F34" s="467"/>
      <c r="G34" s="467"/>
      <c r="H34" s="467"/>
      <c r="I34" s="467"/>
      <c r="J34" s="467"/>
      <c r="K34" s="467"/>
      <c r="L34" s="467"/>
      <c r="M34" s="467"/>
      <c r="N34" s="468"/>
      <c r="O34" s="162"/>
      <c r="Q34" s="132"/>
      <c r="GHX34" s="132" t="e">
        <f>P34-(P34*#REF!)</f>
        <v>#REF!</v>
      </c>
    </row>
    <row r="35" spans="2:17 4963:4964" ht="18" customHeight="1" x14ac:dyDescent="0.25">
      <c r="B35" s="107"/>
      <c r="C35" s="119"/>
      <c r="D35" s="461"/>
      <c r="E35" s="463" t="s">
        <v>124</v>
      </c>
      <c r="F35" s="464"/>
      <c r="G35" s="464"/>
      <c r="H35" s="464"/>
      <c r="I35" s="464"/>
      <c r="J35" s="464"/>
      <c r="K35" s="464"/>
      <c r="L35" s="464"/>
      <c r="M35" s="464"/>
      <c r="N35" s="465"/>
      <c r="O35" s="162"/>
    </row>
    <row r="36" spans="2:17 4963:4964" ht="29.5" customHeight="1" x14ac:dyDescent="0.25">
      <c r="B36" s="107"/>
      <c r="C36" s="119"/>
      <c r="D36" s="461"/>
      <c r="E36" s="291">
        <f>VLOOKUP(F36,[1]DATA!$B$43:$H$48,2,0)</f>
        <v>7940</v>
      </c>
      <c r="F36" s="268" t="s">
        <v>33</v>
      </c>
      <c r="G36" s="288">
        <v>1</v>
      </c>
      <c r="H36" s="441" t="str">
        <f>VLOOKUP(F36,DATA!B57:H63,4,0)</f>
        <v>Kit x 32 Lb - 15,4 kg</v>
      </c>
      <c r="I36" s="441"/>
      <c r="J36" s="441">
        <f>VLOOKUP(F36,DATA!B57:H63,5,0)</f>
        <v>22.2</v>
      </c>
      <c r="K36" s="441" t="s">
        <v>128</v>
      </c>
      <c r="L36" s="443">
        <f>N22</f>
        <v>9.4247779607693793</v>
      </c>
      <c r="M36" s="289">
        <f>ROUNDUP(((L36/J36))*1.05,0)</f>
        <v>1</v>
      </c>
      <c r="N36" s="333" t="str">
        <f>H36</f>
        <v>Kit x 32 Lb - 15,4 kg</v>
      </c>
      <c r="O36" s="162"/>
      <c r="Q36" s="132"/>
    </row>
    <row r="37" spans="2:17 4963:4964" ht="18.75" customHeight="1" thickBot="1" x14ac:dyDescent="0.3">
      <c r="B37" s="107"/>
      <c r="C37" s="119"/>
      <c r="D37" s="462"/>
      <c r="E37" s="334">
        <f>VLOOKUP(F37,DATA!B15:F22,2,0)</f>
        <v>6513</v>
      </c>
      <c r="F37" s="335" t="str">
        <f>F33</f>
        <v>MONOPUR PIGM GRIS P/D *0.45kg</v>
      </c>
      <c r="G37" s="336">
        <f>VLOOKUP(F36,DATA!B57:H63,7,0)</f>
        <v>2</v>
      </c>
      <c r="H37" s="436" t="s">
        <v>213</v>
      </c>
      <c r="I37" s="436"/>
      <c r="J37" s="442"/>
      <c r="K37" s="442"/>
      <c r="L37" s="444"/>
      <c r="M37" s="337">
        <f>M36*G37</f>
        <v>2</v>
      </c>
      <c r="N37" s="338" t="s">
        <v>213</v>
      </c>
      <c r="O37" s="162"/>
    </row>
    <row r="38" spans="2:17 4963:4964" ht="18.75" customHeight="1" x14ac:dyDescent="0.3">
      <c r="B38" s="107"/>
      <c r="C38" s="127"/>
      <c r="D38" s="119"/>
      <c r="E38" s="127"/>
      <c r="F38" s="127"/>
      <c r="G38" s="127"/>
      <c r="H38" s="119"/>
      <c r="I38" s="127"/>
      <c r="J38" s="127"/>
      <c r="K38" s="119"/>
      <c r="L38" s="127"/>
      <c r="M38" s="133"/>
      <c r="N38" s="134"/>
      <c r="O38" s="246"/>
      <c r="GHW38" s="135" t="s">
        <v>160</v>
      </c>
      <c r="GHX38" s="132" t="e">
        <f>GHX29+GHX34+#REF!</f>
        <v>#REF!</v>
      </c>
    </row>
    <row r="39" spans="2:17 4963:4964" ht="17.5" x14ac:dyDescent="0.25">
      <c r="B39" s="107"/>
      <c r="C39" s="131"/>
      <c r="D39" s="119"/>
      <c r="E39" s="127"/>
      <c r="F39" s="127"/>
      <c r="G39" s="120"/>
      <c r="H39" s="120"/>
      <c r="I39" s="120"/>
      <c r="J39" s="120"/>
      <c r="K39" s="120"/>
      <c r="L39" s="120"/>
      <c r="M39" s="120"/>
      <c r="N39" s="120"/>
      <c r="O39" s="162"/>
    </row>
    <row r="40" spans="2:17 4963:4964" ht="14" x14ac:dyDescent="0.25">
      <c r="B40" s="165" t="s">
        <v>125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62"/>
    </row>
    <row r="41" spans="2:17 4963:4964" ht="13.5" customHeight="1" x14ac:dyDescent="0.25">
      <c r="B41" s="439" t="s">
        <v>22</v>
      </c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5"/>
    </row>
    <row r="42" spans="2:17 4963:4964" ht="13.5" x14ac:dyDescent="0.25">
      <c r="B42" s="439"/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5"/>
    </row>
    <row r="43" spans="2:17 4963:4964" ht="13" customHeight="1" x14ac:dyDescent="0.25">
      <c r="B43" s="437" t="s">
        <v>126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162"/>
    </row>
    <row r="44" spans="2:17 4963:4964" ht="23" customHeight="1" x14ac:dyDescent="0.25">
      <c r="B44" s="439" t="s">
        <v>23</v>
      </c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  <c r="O44" s="162"/>
    </row>
    <row r="45" spans="2:17 4963:4964" ht="14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62"/>
    </row>
    <row r="46" spans="2:17 4963:4964" ht="14.5" x14ac:dyDescent="0.35">
      <c r="B46" s="23" t="s">
        <v>216</v>
      </c>
      <c r="C46" s="166"/>
      <c r="D46" s="117"/>
      <c r="E46" s="117"/>
      <c r="F46" s="122"/>
      <c r="G46" s="122"/>
      <c r="H46" s="89" t="s">
        <v>63</v>
      </c>
      <c r="I46" s="122"/>
      <c r="J46" s="122"/>
      <c r="K46" s="122"/>
      <c r="L46" s="122"/>
      <c r="M46" s="122"/>
      <c r="N46" s="122"/>
      <c r="O46" s="162"/>
    </row>
    <row r="47" spans="2:17 4963:4964" ht="14.5" x14ac:dyDescent="0.35">
      <c r="B47" s="25" t="s">
        <v>165</v>
      </c>
      <c r="C47" s="140"/>
      <c r="D47" s="140"/>
      <c r="E47" s="140"/>
      <c r="F47" s="140"/>
      <c r="G47" s="140"/>
      <c r="H47" s="90" t="s">
        <v>82</v>
      </c>
      <c r="I47" s="140"/>
      <c r="J47" s="140"/>
      <c r="K47" s="140"/>
      <c r="L47" s="140"/>
      <c r="M47" s="140"/>
      <c r="N47" s="140"/>
      <c r="O47" s="167"/>
    </row>
    <row r="48" spans="2:17 4963:4964" ht="18.5" customHeight="1" x14ac:dyDescent="0.3">
      <c r="B48" s="23" t="s">
        <v>80</v>
      </c>
      <c r="C48" s="140"/>
      <c r="D48" s="140"/>
      <c r="E48" s="140"/>
      <c r="F48" s="140"/>
      <c r="G48" s="140"/>
      <c r="H48" s="89" t="s">
        <v>83</v>
      </c>
      <c r="I48" s="140"/>
      <c r="J48" s="140"/>
      <c r="K48" s="140"/>
      <c r="L48" s="140"/>
      <c r="M48" s="140"/>
      <c r="N48" s="140"/>
      <c r="O48" s="167"/>
    </row>
    <row r="49" spans="2:15" ht="17.5" customHeight="1" x14ac:dyDescent="0.35">
      <c r="B49" s="25" t="s">
        <v>78</v>
      </c>
      <c r="C49" s="140"/>
      <c r="D49" s="140"/>
      <c r="E49" s="140"/>
      <c r="F49" s="140"/>
      <c r="G49" s="140"/>
      <c r="H49" s="90" t="s">
        <v>84</v>
      </c>
      <c r="I49" s="140"/>
      <c r="J49" s="140"/>
      <c r="K49" s="140"/>
      <c r="L49" s="140"/>
      <c r="M49" s="140"/>
      <c r="N49" s="140"/>
      <c r="O49" s="167"/>
    </row>
    <row r="50" spans="2:15" ht="14" x14ac:dyDescent="0.3">
      <c r="B50" s="23" t="s">
        <v>81</v>
      </c>
      <c r="C50" s="140"/>
      <c r="D50" s="140"/>
      <c r="E50" s="140"/>
      <c r="F50" s="140"/>
      <c r="G50" s="140"/>
      <c r="H50" s="91" t="s">
        <v>64</v>
      </c>
      <c r="I50" s="140"/>
      <c r="J50" s="140"/>
      <c r="K50" s="140"/>
      <c r="L50" s="140"/>
      <c r="M50" s="140"/>
      <c r="N50" s="140"/>
      <c r="O50" s="167"/>
    </row>
    <row r="51" spans="2:15" ht="14.5" x14ac:dyDescent="0.35">
      <c r="B51" s="25" t="s">
        <v>79</v>
      </c>
      <c r="C51" s="140"/>
      <c r="D51" s="140"/>
      <c r="E51" s="140"/>
      <c r="F51" s="140"/>
      <c r="G51" s="140"/>
      <c r="H51" s="92" t="s">
        <v>85</v>
      </c>
      <c r="I51" s="140"/>
      <c r="J51" s="140"/>
      <c r="K51" s="140"/>
      <c r="L51" s="140"/>
      <c r="M51" s="140"/>
      <c r="N51" s="140"/>
      <c r="O51" s="167"/>
    </row>
    <row r="52" spans="2:15" ht="14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67"/>
    </row>
    <row r="53" spans="2:15" ht="14" x14ac:dyDescent="0.25">
      <c r="B53" s="139"/>
      <c r="C53" s="55" t="s">
        <v>231</v>
      </c>
      <c r="D53" s="119"/>
      <c r="E53" s="119"/>
      <c r="F53" s="119"/>
      <c r="G53" s="119"/>
      <c r="H53" s="163"/>
      <c r="I53" s="140"/>
      <c r="J53" s="140"/>
      <c r="K53" s="140"/>
      <c r="L53" s="140"/>
      <c r="M53" s="140"/>
      <c r="N53" s="140"/>
      <c r="O53" s="167"/>
    </row>
    <row r="54" spans="2:15" ht="14" x14ac:dyDescent="0.25">
      <c r="B54" s="118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67"/>
    </row>
    <row r="55" spans="2:15" ht="85" customHeight="1" x14ac:dyDescent="0.25">
      <c r="B55" s="118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67"/>
    </row>
    <row r="56" spans="2:15" ht="14" x14ac:dyDescent="0.25">
      <c r="B56" s="118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67"/>
    </row>
    <row r="57" spans="2:15" ht="14" x14ac:dyDescent="0.25">
      <c r="B57" s="118"/>
      <c r="C57" s="140"/>
      <c r="D57" s="119"/>
      <c r="E57" s="119"/>
      <c r="F57" s="119"/>
      <c r="G57" s="119"/>
      <c r="H57" s="119"/>
      <c r="I57" s="119"/>
      <c r="J57" s="127"/>
      <c r="K57" s="119"/>
      <c r="L57" s="127"/>
      <c r="M57" s="127"/>
      <c r="N57" s="127"/>
      <c r="O57" s="162"/>
    </row>
    <row r="58" spans="2:15" ht="14" x14ac:dyDescent="0.25">
      <c r="B58" s="118"/>
      <c r="C58" s="140"/>
      <c r="D58" s="163"/>
      <c r="E58" s="119"/>
      <c r="F58" s="127"/>
      <c r="G58" s="127"/>
      <c r="H58" s="119"/>
      <c r="I58" s="127"/>
      <c r="J58" s="127"/>
      <c r="K58" s="127"/>
      <c r="L58" s="127"/>
      <c r="M58" s="127"/>
      <c r="N58" s="127"/>
      <c r="O58" s="162"/>
    </row>
    <row r="59" spans="2:15" ht="14" x14ac:dyDescent="0.25">
      <c r="B59" s="139"/>
      <c r="C59" s="140"/>
      <c r="D59" s="140"/>
      <c r="E59" s="140"/>
      <c r="F59" s="140"/>
      <c r="G59" s="140"/>
      <c r="H59" s="140"/>
      <c r="I59" s="140"/>
      <c r="J59" s="127"/>
      <c r="K59" s="127"/>
      <c r="L59" s="127"/>
      <c r="M59" s="127"/>
      <c r="N59" s="127"/>
      <c r="O59" s="162"/>
    </row>
    <row r="60" spans="2:15" ht="14" x14ac:dyDescent="0.25">
      <c r="B60" s="139"/>
      <c r="C60" s="140"/>
      <c r="D60" s="140"/>
      <c r="E60" s="140"/>
      <c r="F60" s="140"/>
      <c r="G60" s="140"/>
      <c r="H60" s="140"/>
      <c r="I60" s="140"/>
      <c r="J60" s="127"/>
      <c r="K60" s="127"/>
      <c r="L60" s="127"/>
      <c r="M60" s="127"/>
      <c r="N60" s="127"/>
      <c r="O60" s="162"/>
    </row>
    <row r="61" spans="2:15" ht="14" x14ac:dyDescent="0.25">
      <c r="B61" s="139"/>
      <c r="C61" s="140"/>
      <c r="D61" s="140"/>
      <c r="E61" s="140"/>
      <c r="F61" s="140"/>
      <c r="G61" s="140"/>
      <c r="H61" s="140"/>
      <c r="I61" s="140"/>
      <c r="J61" s="127"/>
      <c r="K61" s="127"/>
      <c r="L61" s="127"/>
      <c r="M61" s="127"/>
      <c r="N61" s="127"/>
      <c r="O61" s="162"/>
    </row>
    <row r="62" spans="2:15" ht="14.5" thickBot="1" x14ac:dyDescent="0.3">
      <c r="B62" s="247"/>
      <c r="C62" s="248"/>
      <c r="D62" s="248"/>
      <c r="E62" s="248"/>
      <c r="F62" s="248"/>
      <c r="G62" s="248"/>
      <c r="H62" s="248"/>
      <c r="I62" s="248"/>
      <c r="J62" s="168"/>
      <c r="K62" s="169"/>
      <c r="L62" s="168"/>
      <c r="M62" s="168"/>
      <c r="N62" s="169"/>
      <c r="O62" s="170"/>
    </row>
    <row r="63" spans="2:15" ht="13.5" hidden="1" x14ac:dyDescent="0.25">
      <c r="B63" s="108"/>
      <c r="C63" s="108"/>
      <c r="D63" s="109"/>
      <c r="E63" s="108"/>
      <c r="F63" s="109"/>
      <c r="G63" s="108"/>
      <c r="H63" s="108"/>
      <c r="I63" s="109"/>
      <c r="J63" s="108"/>
      <c r="K63" s="109"/>
      <c r="L63" s="108"/>
      <c r="M63" s="108"/>
      <c r="N63" s="109"/>
    </row>
    <row r="64" spans="2:15" ht="13.5" hidden="1" x14ac:dyDescent="0.25">
      <c r="B64" s="108"/>
      <c r="C64" s="108"/>
      <c r="D64" s="109"/>
      <c r="E64" s="108"/>
      <c r="F64" s="109"/>
      <c r="G64" s="108"/>
      <c r="H64" s="108"/>
      <c r="I64" s="109"/>
      <c r="J64" s="108"/>
      <c r="K64" s="109"/>
      <c r="L64" s="108"/>
      <c r="M64" s="108"/>
      <c r="N64" s="109"/>
    </row>
    <row r="65" spans="2:14" ht="13.5" hidden="1" x14ac:dyDescent="0.25">
      <c r="B65" s="108"/>
      <c r="C65" s="108"/>
      <c r="D65" s="109"/>
      <c r="E65" s="108"/>
      <c r="F65" s="109"/>
      <c r="G65" s="108"/>
      <c r="H65" s="108"/>
      <c r="I65" s="109"/>
      <c r="J65" s="108"/>
      <c r="K65" s="109"/>
      <c r="L65" s="108"/>
      <c r="M65" s="108"/>
      <c r="N65" s="109"/>
    </row>
    <row r="66" spans="2:14" ht="13.5" hidden="1" x14ac:dyDescent="0.25">
      <c r="B66" s="108"/>
      <c r="C66" s="108"/>
      <c r="D66" s="109"/>
      <c r="E66" s="108"/>
      <c r="F66" s="109"/>
      <c r="G66" s="108"/>
      <c r="H66" s="108"/>
      <c r="I66" s="109"/>
      <c r="J66" s="108"/>
      <c r="K66" s="109"/>
      <c r="L66" s="108"/>
      <c r="M66" s="108"/>
      <c r="N66" s="109"/>
    </row>
    <row r="67" spans="2:14" ht="13.5" hidden="1" x14ac:dyDescent="0.25">
      <c r="B67" s="108"/>
      <c r="C67" s="108"/>
      <c r="D67" s="109"/>
      <c r="E67" s="108"/>
      <c r="F67" s="109"/>
      <c r="G67" s="108"/>
      <c r="H67" s="108"/>
      <c r="I67" s="109"/>
      <c r="J67" s="108"/>
      <c r="K67" s="109"/>
      <c r="L67" s="108"/>
      <c r="M67" s="108"/>
      <c r="N67" s="109"/>
    </row>
    <row r="68" spans="2:14" ht="13.5" hidden="1" x14ac:dyDescent="0.25">
      <c r="B68" s="108"/>
      <c r="C68" s="108"/>
      <c r="D68" s="109"/>
      <c r="E68" s="108"/>
      <c r="F68" s="109"/>
      <c r="G68" s="108"/>
      <c r="H68" s="108"/>
      <c r="I68" s="109"/>
      <c r="J68" s="108"/>
      <c r="K68" s="109"/>
      <c r="L68" s="108"/>
      <c r="M68" s="108"/>
      <c r="N68" s="109"/>
    </row>
    <row r="69" spans="2:14" ht="13.5" hidden="1" x14ac:dyDescent="0.25">
      <c r="B69" s="108"/>
      <c r="C69" s="108"/>
      <c r="D69" s="109"/>
      <c r="E69" s="108"/>
      <c r="F69" s="109"/>
      <c r="G69" s="108"/>
      <c r="H69" s="108"/>
      <c r="I69" s="109"/>
      <c r="J69" s="108"/>
      <c r="K69" s="109"/>
      <c r="L69" s="108"/>
      <c r="M69" s="108"/>
      <c r="N69" s="109"/>
    </row>
    <row r="70" spans="2:14" ht="13.5" hidden="1" x14ac:dyDescent="0.25">
      <c r="B70" s="108"/>
      <c r="C70" s="108"/>
      <c r="D70" s="109"/>
      <c r="E70" s="108"/>
      <c r="F70" s="109"/>
      <c r="G70" s="108"/>
      <c r="H70" s="108"/>
      <c r="I70" s="109"/>
      <c r="J70" s="108"/>
      <c r="K70" s="109"/>
      <c r="L70" s="108"/>
      <c r="M70" s="108"/>
      <c r="N70" s="109"/>
    </row>
    <row r="71" spans="2:14" ht="13.5" hidden="1" x14ac:dyDescent="0.25">
      <c r="B71" s="108"/>
      <c r="C71" s="108"/>
      <c r="D71" s="109"/>
      <c r="E71" s="108"/>
      <c r="F71" s="109"/>
      <c r="G71" s="108"/>
      <c r="H71" s="108"/>
      <c r="I71" s="109"/>
      <c r="J71" s="108"/>
      <c r="K71" s="109"/>
      <c r="L71" s="108"/>
      <c r="M71" s="108"/>
      <c r="N71" s="109"/>
    </row>
    <row r="72" spans="2:14" ht="13.5" hidden="1" x14ac:dyDescent="0.25">
      <c r="B72" s="108"/>
      <c r="C72" s="108"/>
      <c r="D72" s="109"/>
      <c r="E72" s="108"/>
      <c r="F72" s="109"/>
      <c r="G72" s="108"/>
      <c r="H72" s="108"/>
      <c r="I72" s="109"/>
      <c r="J72" s="108"/>
      <c r="K72" s="109"/>
      <c r="L72" s="108"/>
      <c r="M72" s="108"/>
      <c r="N72" s="109"/>
    </row>
    <row r="73" spans="2:14" ht="13.5" hidden="1" x14ac:dyDescent="0.25">
      <c r="B73" s="108"/>
      <c r="C73" s="108"/>
      <c r="D73" s="109"/>
      <c r="E73" s="108"/>
      <c r="F73" s="109"/>
      <c r="G73" s="108"/>
      <c r="H73" s="108"/>
      <c r="I73" s="109"/>
      <c r="J73" s="108"/>
      <c r="K73" s="109"/>
      <c r="L73" s="108"/>
      <c r="M73" s="108"/>
      <c r="N73" s="109"/>
    </row>
    <row r="74" spans="2:14" ht="13.5" hidden="1" x14ac:dyDescent="0.25">
      <c r="B74" s="108"/>
      <c r="C74" s="108"/>
      <c r="D74" s="109"/>
      <c r="E74" s="108"/>
      <c r="F74" s="109"/>
      <c r="G74" s="108"/>
      <c r="H74" s="108"/>
      <c r="I74" s="109"/>
      <c r="J74" s="108"/>
      <c r="K74" s="109"/>
      <c r="L74" s="108"/>
      <c r="M74" s="108"/>
      <c r="N74" s="109"/>
    </row>
    <row r="75" spans="2:14" ht="13.5" hidden="1" x14ac:dyDescent="0.25">
      <c r="B75" s="108"/>
      <c r="C75" s="108"/>
      <c r="D75" s="109"/>
      <c r="E75" s="108"/>
      <c r="F75" s="109"/>
      <c r="G75" s="108"/>
      <c r="H75" s="108"/>
      <c r="I75" s="109"/>
      <c r="J75" s="108"/>
      <c r="K75" s="109"/>
      <c r="L75" s="108"/>
      <c r="M75" s="108"/>
      <c r="N75" s="109"/>
    </row>
    <row r="76" spans="2:14" ht="13.5" hidden="1" x14ac:dyDescent="0.25">
      <c r="B76" s="108"/>
      <c r="C76" s="108"/>
      <c r="D76" s="109"/>
      <c r="E76" s="108"/>
      <c r="F76" s="109"/>
      <c r="G76" s="108"/>
      <c r="H76" s="108"/>
      <c r="I76" s="109"/>
      <c r="J76" s="108"/>
      <c r="K76" s="109"/>
      <c r="L76" s="108"/>
      <c r="M76" s="108"/>
      <c r="N76" s="109"/>
    </row>
    <row r="77" spans="2:14" ht="13.5" hidden="1" x14ac:dyDescent="0.25">
      <c r="B77" s="108"/>
      <c r="C77" s="108"/>
      <c r="D77" s="109"/>
      <c r="E77" s="108"/>
      <c r="F77" s="109"/>
      <c r="G77" s="108"/>
      <c r="H77" s="108"/>
      <c r="I77" s="109"/>
      <c r="J77" s="108"/>
      <c r="K77" s="109"/>
      <c r="L77" s="108"/>
      <c r="M77" s="108"/>
      <c r="N77" s="109"/>
    </row>
    <row r="78" spans="2:14" ht="13.5" hidden="1" x14ac:dyDescent="0.25">
      <c r="B78" s="108"/>
      <c r="C78" s="108"/>
      <c r="D78" s="109"/>
      <c r="E78" s="108"/>
      <c r="F78" s="109"/>
      <c r="G78" s="108"/>
      <c r="H78" s="108"/>
      <c r="I78" s="109"/>
      <c r="J78" s="108"/>
      <c r="K78" s="109"/>
      <c r="L78" s="108"/>
      <c r="M78" s="108"/>
      <c r="N78" s="109"/>
    </row>
    <row r="79" spans="2:14" ht="13.5" hidden="1" x14ac:dyDescent="0.25">
      <c r="B79" s="108"/>
      <c r="C79" s="108"/>
      <c r="D79" s="109"/>
      <c r="E79" s="108"/>
      <c r="F79" s="109"/>
      <c r="G79" s="108"/>
      <c r="H79" s="108"/>
      <c r="I79" s="109"/>
      <c r="J79" s="108"/>
      <c r="K79" s="109"/>
      <c r="L79" s="108"/>
      <c r="M79" s="108"/>
      <c r="N79" s="109"/>
    </row>
    <row r="80" spans="2:14" ht="13.5" hidden="1" x14ac:dyDescent="0.25">
      <c r="B80" s="108"/>
      <c r="C80" s="108"/>
      <c r="D80" s="109"/>
      <c r="E80" s="108"/>
      <c r="F80" s="109"/>
      <c r="G80" s="108"/>
      <c r="H80" s="108"/>
      <c r="I80" s="109"/>
      <c r="J80" s="108"/>
      <c r="K80" s="109"/>
      <c r="L80" s="108"/>
      <c r="M80" s="108"/>
      <c r="N80" s="109"/>
    </row>
    <row r="81" spans="2:14" ht="13.5" hidden="1" x14ac:dyDescent="0.25">
      <c r="B81" s="108"/>
      <c r="C81" s="108"/>
      <c r="D81" s="109"/>
      <c r="E81" s="108"/>
      <c r="F81" s="109"/>
      <c r="G81" s="108"/>
      <c r="H81" s="108"/>
      <c r="I81" s="109"/>
      <c r="J81" s="108"/>
      <c r="K81" s="109"/>
      <c r="L81" s="108"/>
      <c r="M81" s="108"/>
      <c r="N81" s="109"/>
    </row>
    <row r="82" spans="2:14" ht="13.5" hidden="1" x14ac:dyDescent="0.25">
      <c r="B82" s="108"/>
      <c r="C82" s="108"/>
      <c r="D82" s="109"/>
      <c r="E82" s="108"/>
      <c r="F82" s="109"/>
      <c r="G82" s="108"/>
      <c r="H82" s="108"/>
      <c r="I82" s="109"/>
      <c r="J82" s="108"/>
      <c r="K82" s="109"/>
      <c r="L82" s="108"/>
      <c r="M82" s="108"/>
      <c r="N82" s="109"/>
    </row>
    <row r="83" spans="2:14" ht="13.5" hidden="1" x14ac:dyDescent="0.25">
      <c r="B83" s="108"/>
      <c r="C83" s="108"/>
      <c r="D83" s="109"/>
      <c r="E83" s="108"/>
      <c r="F83" s="109"/>
      <c r="G83" s="108"/>
      <c r="H83" s="108"/>
      <c r="I83" s="109"/>
      <c r="J83" s="108"/>
      <c r="K83" s="109"/>
      <c r="L83" s="108"/>
      <c r="M83" s="108"/>
      <c r="N83" s="109"/>
    </row>
    <row r="84" spans="2:14" ht="13.5" hidden="1" x14ac:dyDescent="0.25">
      <c r="B84" s="108"/>
      <c r="C84" s="108"/>
      <c r="D84" s="109"/>
      <c r="E84" s="108"/>
      <c r="F84" s="109"/>
      <c r="G84" s="108"/>
      <c r="H84" s="108"/>
      <c r="I84" s="109"/>
      <c r="J84" s="108"/>
      <c r="K84" s="109"/>
      <c r="L84" s="108"/>
      <c r="M84" s="108"/>
      <c r="N84" s="109"/>
    </row>
    <row r="85" spans="2:14" ht="13.5" hidden="1" x14ac:dyDescent="0.25">
      <c r="B85" s="108"/>
      <c r="C85" s="108"/>
      <c r="D85" s="109"/>
      <c r="E85" s="108"/>
      <c r="F85" s="109"/>
      <c r="G85" s="108"/>
      <c r="H85" s="108"/>
      <c r="I85" s="109"/>
      <c r="J85" s="108"/>
      <c r="K85" s="109"/>
      <c r="L85" s="108"/>
      <c r="M85" s="108"/>
      <c r="N85" s="109"/>
    </row>
    <row r="86" spans="2:14" ht="13.5" hidden="1" x14ac:dyDescent="0.25">
      <c r="B86" s="108"/>
      <c r="C86" s="108"/>
      <c r="D86" s="109"/>
      <c r="E86" s="108"/>
      <c r="F86" s="109"/>
      <c r="G86" s="108"/>
      <c r="H86" s="108"/>
      <c r="I86" s="109"/>
      <c r="J86" s="108"/>
      <c r="K86" s="109"/>
      <c r="L86" s="108"/>
      <c r="M86" s="108"/>
      <c r="N86" s="109"/>
    </row>
    <row r="87" spans="2:14" ht="13.5" hidden="1" x14ac:dyDescent="0.25">
      <c r="B87" s="108"/>
      <c r="C87" s="108"/>
      <c r="D87" s="109"/>
      <c r="E87" s="108"/>
      <c r="F87" s="109"/>
      <c r="G87" s="108"/>
      <c r="H87" s="108"/>
      <c r="I87" s="109"/>
      <c r="J87" s="108"/>
      <c r="K87" s="109"/>
      <c r="L87" s="108"/>
      <c r="M87" s="108"/>
      <c r="N87" s="109"/>
    </row>
    <row r="88" spans="2:14" ht="13.5" hidden="1" x14ac:dyDescent="0.25">
      <c r="B88" s="108"/>
      <c r="C88" s="108"/>
      <c r="D88" s="109"/>
      <c r="E88" s="108"/>
      <c r="F88" s="109"/>
      <c r="G88" s="108"/>
      <c r="H88" s="108"/>
      <c r="I88" s="109"/>
      <c r="J88" s="108"/>
      <c r="K88" s="109"/>
      <c r="L88" s="108"/>
      <c r="M88" s="108"/>
      <c r="N88" s="109"/>
    </row>
    <row r="89" spans="2:14" ht="13.5" hidden="1" x14ac:dyDescent="0.25">
      <c r="B89" s="108"/>
      <c r="C89" s="108"/>
      <c r="D89" s="109"/>
      <c r="E89" s="108"/>
      <c r="F89" s="109"/>
      <c r="G89" s="108"/>
      <c r="H89" s="108"/>
      <c r="I89" s="109"/>
      <c r="J89" s="108"/>
      <c r="K89" s="109"/>
      <c r="L89" s="108"/>
      <c r="M89" s="108"/>
      <c r="N89" s="109"/>
    </row>
    <row r="90" spans="2:14" ht="13.5" hidden="1" x14ac:dyDescent="0.25">
      <c r="B90" s="108"/>
      <c r="C90" s="108"/>
      <c r="D90" s="109"/>
      <c r="E90" s="108"/>
      <c r="F90" s="109"/>
      <c r="G90" s="108"/>
      <c r="H90" s="108"/>
      <c r="I90" s="109"/>
      <c r="J90" s="108"/>
      <c r="K90" s="109"/>
      <c r="L90" s="108"/>
      <c r="M90" s="108"/>
      <c r="N90" s="109"/>
    </row>
    <row r="91" spans="2:14" ht="13.5" hidden="1" x14ac:dyDescent="0.25">
      <c r="B91" s="108"/>
      <c r="C91" s="108"/>
      <c r="D91" s="109"/>
      <c r="E91" s="108"/>
      <c r="F91" s="109"/>
      <c r="G91" s="108"/>
      <c r="H91" s="108"/>
      <c r="I91" s="109"/>
      <c r="J91" s="108"/>
      <c r="K91" s="109"/>
      <c r="L91" s="108"/>
      <c r="M91" s="108"/>
      <c r="N91" s="109"/>
    </row>
    <row r="92" spans="2:14" ht="13.5" hidden="1" x14ac:dyDescent="0.25">
      <c r="B92" s="108"/>
      <c r="C92" s="108"/>
      <c r="D92" s="109"/>
      <c r="E92" s="108"/>
      <c r="F92" s="109"/>
      <c r="G92" s="108"/>
      <c r="H92" s="108"/>
      <c r="I92" s="109"/>
      <c r="J92" s="108"/>
      <c r="K92" s="109"/>
      <c r="L92" s="108"/>
      <c r="M92" s="108"/>
      <c r="N92" s="109"/>
    </row>
    <row r="93" spans="2:14" ht="13.5" hidden="1" x14ac:dyDescent="0.25">
      <c r="B93" s="108"/>
      <c r="C93" s="108"/>
      <c r="D93" s="109"/>
      <c r="E93" s="108"/>
      <c r="F93" s="109"/>
      <c r="G93" s="108"/>
      <c r="H93" s="108"/>
      <c r="I93" s="109"/>
      <c r="J93" s="108"/>
      <c r="K93" s="109"/>
      <c r="L93" s="108"/>
      <c r="M93" s="108"/>
      <c r="N93" s="109"/>
    </row>
    <row r="94" spans="2:14" ht="13.5" hidden="1" x14ac:dyDescent="0.25">
      <c r="B94" s="108"/>
      <c r="C94" s="108"/>
      <c r="D94" s="109"/>
      <c r="E94" s="108"/>
      <c r="F94" s="109"/>
      <c r="G94" s="108"/>
      <c r="H94" s="108"/>
      <c r="I94" s="109"/>
      <c r="J94" s="108"/>
      <c r="K94" s="109"/>
      <c r="L94" s="108"/>
      <c r="M94" s="108"/>
      <c r="N94" s="109"/>
    </row>
    <row r="95" spans="2:14" ht="13.5" hidden="1" x14ac:dyDescent="0.25">
      <c r="B95" s="108"/>
      <c r="C95" s="108"/>
      <c r="D95" s="109"/>
      <c r="E95" s="108"/>
      <c r="F95" s="109"/>
      <c r="G95" s="108"/>
      <c r="H95" s="108"/>
      <c r="I95" s="109"/>
      <c r="J95" s="108"/>
      <c r="K95" s="109"/>
      <c r="L95" s="108"/>
      <c r="M95" s="108"/>
      <c r="N95" s="109"/>
    </row>
    <row r="96" spans="2:14" ht="13.5" hidden="1" x14ac:dyDescent="0.25">
      <c r="B96" s="108"/>
      <c r="C96" s="108"/>
      <c r="D96" s="109"/>
      <c r="E96" s="108"/>
      <c r="F96" s="109"/>
      <c r="G96" s="108"/>
      <c r="H96" s="108"/>
      <c r="I96" s="109"/>
      <c r="J96" s="108"/>
      <c r="K96" s="109"/>
      <c r="L96" s="108"/>
      <c r="M96" s="108"/>
      <c r="N96" s="109"/>
    </row>
    <row r="97" spans="2:14" ht="13.5" hidden="1" x14ac:dyDescent="0.25">
      <c r="B97" s="108"/>
      <c r="C97" s="108"/>
      <c r="D97" s="109"/>
      <c r="E97" s="108"/>
      <c r="F97" s="109"/>
      <c r="G97" s="108"/>
      <c r="H97" s="108"/>
      <c r="I97" s="109"/>
      <c r="J97" s="108"/>
      <c r="K97" s="109"/>
      <c r="L97" s="108"/>
      <c r="M97" s="108"/>
      <c r="N97" s="109"/>
    </row>
    <row r="98" spans="2:14" ht="16.5" hidden="1" customHeight="1" x14ac:dyDescent="0.25">
      <c r="B98" s="108"/>
      <c r="C98" s="108"/>
      <c r="D98" s="109"/>
      <c r="E98" s="108"/>
      <c r="F98" s="109"/>
      <c r="G98" s="108"/>
      <c r="H98" s="108"/>
      <c r="I98" s="109"/>
      <c r="J98" s="108"/>
      <c r="K98" s="109"/>
      <c r="L98" s="108"/>
      <c r="M98" s="108"/>
      <c r="N98" s="109"/>
    </row>
    <row r="99" spans="2:14" ht="16.5" hidden="1" customHeight="1" x14ac:dyDescent="0.25">
      <c r="B99" s="108"/>
      <c r="C99" s="108"/>
      <c r="D99" s="109"/>
      <c r="E99" s="108"/>
      <c r="F99" s="109"/>
      <c r="G99" s="108"/>
      <c r="H99" s="108"/>
      <c r="I99" s="109"/>
      <c r="J99" s="108"/>
      <c r="K99" s="109"/>
      <c r="L99" s="108"/>
      <c r="M99" s="108"/>
      <c r="N99" s="109"/>
    </row>
    <row r="100" spans="2:14" ht="16.5" hidden="1" customHeight="1" x14ac:dyDescent="0.25">
      <c r="B100" s="108"/>
      <c r="C100" s="108"/>
      <c r="D100" s="109"/>
      <c r="E100" s="108"/>
      <c r="F100" s="109"/>
      <c r="G100" s="108"/>
      <c r="H100" s="108"/>
      <c r="I100" s="109"/>
      <c r="J100" s="108"/>
      <c r="K100" s="109"/>
      <c r="L100" s="108"/>
      <c r="M100" s="108"/>
      <c r="N100" s="109"/>
    </row>
    <row r="101" spans="2:14" ht="16.5" hidden="1" customHeight="1" x14ac:dyDescent="0.25">
      <c r="B101" s="108"/>
      <c r="C101" s="108"/>
      <c r="D101" s="109"/>
      <c r="E101" s="108"/>
      <c r="F101" s="109"/>
      <c r="G101" s="108"/>
      <c r="H101" s="108"/>
      <c r="I101" s="109"/>
      <c r="J101" s="108"/>
      <c r="K101" s="109"/>
      <c r="L101" s="108"/>
      <c r="M101" s="108"/>
      <c r="N101" s="109"/>
    </row>
    <row r="102" spans="2:14" ht="16.5" hidden="1" customHeight="1" x14ac:dyDescent="0.25">
      <c r="B102" s="108"/>
      <c r="C102" s="108"/>
      <c r="D102" s="109"/>
      <c r="E102" s="108"/>
      <c r="F102" s="109"/>
      <c r="G102" s="108"/>
      <c r="H102" s="108"/>
      <c r="I102" s="109"/>
      <c r="J102" s="108"/>
      <c r="K102" s="109"/>
      <c r="L102" s="108"/>
      <c r="M102" s="108"/>
      <c r="N102" s="109"/>
    </row>
    <row r="103" spans="2:14" ht="16.5" hidden="1" customHeight="1" x14ac:dyDescent="0.25">
      <c r="B103" s="108"/>
      <c r="C103" s="108"/>
      <c r="D103" s="109"/>
      <c r="E103" s="108"/>
      <c r="F103" s="109"/>
      <c r="G103" s="108"/>
      <c r="H103" s="108"/>
      <c r="I103" s="109"/>
      <c r="J103" s="108"/>
      <c r="K103" s="109"/>
      <c r="L103" s="108"/>
      <c r="M103" s="108"/>
      <c r="N103" s="109"/>
    </row>
    <row r="104" spans="2:14" ht="16.5" hidden="1" customHeight="1" x14ac:dyDescent="0.25">
      <c r="B104" s="108"/>
      <c r="C104" s="108"/>
      <c r="D104" s="109"/>
      <c r="E104" s="108"/>
      <c r="F104" s="109"/>
      <c r="G104" s="108"/>
      <c r="H104" s="108"/>
      <c r="I104" s="109"/>
      <c r="J104" s="108"/>
      <c r="K104" s="109"/>
      <c r="L104" s="108"/>
      <c r="M104" s="108"/>
      <c r="N104" s="109"/>
    </row>
    <row r="105" spans="2:14" ht="5.5" hidden="1" customHeight="1" x14ac:dyDescent="0.25">
      <c r="B105" s="108"/>
      <c r="C105" s="108"/>
      <c r="D105" s="109"/>
      <c r="E105" s="108"/>
      <c r="F105" s="109"/>
      <c r="G105" s="108"/>
      <c r="H105" s="108"/>
      <c r="I105" s="109"/>
      <c r="J105" s="108"/>
      <c r="K105" s="109"/>
      <c r="L105" s="108"/>
      <c r="M105" s="108"/>
      <c r="N105" s="109"/>
    </row>
    <row r="106" spans="2:14" ht="16.5" hidden="1" customHeight="1" x14ac:dyDescent="0.25">
      <c r="B106" s="108"/>
      <c r="C106" s="108"/>
      <c r="D106" s="109"/>
      <c r="E106" s="108"/>
      <c r="F106" s="109"/>
      <c r="G106" s="108"/>
      <c r="H106" s="108"/>
      <c r="I106" s="109"/>
      <c r="J106" s="108"/>
      <c r="K106" s="109"/>
      <c r="L106" s="108"/>
      <c r="M106" s="108"/>
      <c r="N106" s="109"/>
    </row>
    <row r="107" spans="2:14" ht="16.5" hidden="1" customHeight="1" x14ac:dyDescent="0.25">
      <c r="B107" s="108"/>
      <c r="C107" s="108"/>
      <c r="D107" s="109"/>
      <c r="E107" s="108"/>
      <c r="F107" s="109"/>
      <c r="G107" s="108"/>
      <c r="H107" s="108"/>
      <c r="I107" s="109"/>
      <c r="J107" s="108"/>
      <c r="K107" s="109"/>
      <c r="L107" s="108"/>
      <c r="M107" s="108"/>
      <c r="N107" s="109"/>
    </row>
    <row r="108" spans="2:14" ht="16.5" hidden="1" customHeight="1" x14ac:dyDescent="0.25">
      <c r="B108" s="108"/>
      <c r="C108" s="108"/>
      <c r="D108" s="109"/>
      <c r="E108" s="108"/>
      <c r="F108" s="109"/>
      <c r="G108" s="108"/>
      <c r="H108" s="108"/>
      <c r="I108" s="109"/>
      <c r="J108" s="108"/>
      <c r="K108" s="109"/>
      <c r="L108" s="108"/>
      <c r="M108" s="108"/>
      <c r="N108" s="109"/>
    </row>
    <row r="109" spans="2:14" ht="16.5" hidden="1" customHeight="1" x14ac:dyDescent="0.25">
      <c r="B109" s="108"/>
      <c r="C109" s="108"/>
      <c r="D109" s="109"/>
      <c r="E109" s="108"/>
      <c r="F109" s="109"/>
      <c r="G109" s="108"/>
      <c r="H109" s="108"/>
      <c r="I109" s="109"/>
      <c r="J109" s="108"/>
      <c r="K109" s="109"/>
      <c r="L109" s="108"/>
      <c r="M109" s="108"/>
      <c r="N109" s="109"/>
    </row>
    <row r="110" spans="2:14" ht="0" hidden="1" customHeight="1" x14ac:dyDescent="0.25">
      <c r="D110" s="109"/>
      <c r="E110" s="108"/>
      <c r="F110" s="109"/>
      <c r="G110" s="108"/>
      <c r="H110" s="108"/>
      <c r="I110" s="109"/>
      <c r="J110" s="108"/>
      <c r="K110" s="109"/>
      <c r="L110" s="108"/>
      <c r="M110" s="108"/>
      <c r="N110" s="109"/>
    </row>
  </sheetData>
  <sheetProtection algorithmName="SHA-512" hashValue="P9NUmsKWr++oWSNU1CP0W+ndQe1Dl2v9+UjY9OXEn9JayoET5dTTihVqpQAS/timUYXkYJFEiiQlbloD7Yl0/g==" saltValue="YtDcL8WyUVL8RkzbFtQLVQ==" spinCount="100000" sheet="1" objects="1" scenarios="1"/>
  <protectedRanges>
    <protectedRange sqref="F36" name="Seleccion Sello"/>
    <protectedRange sqref="F33" name="Seleccion Color"/>
    <protectedRange sqref="H22:L22" name="Especificaciones iniciales"/>
    <protectedRange sqref="B47:F47" name="Hoja Tecnicas 1"/>
    <protectedRange sqref="B49:E49" name="Hojas Tecnicas 2"/>
    <protectedRange sqref="B51:E51" name="Hojas Tecnicas 3"/>
    <protectedRange sqref="H47:M47" name="Tabla Resistencia"/>
    <protectedRange sqref="H49:M49" name="Guia Para Instalacion"/>
    <protectedRange sqref="H51:L51" name="Detalles Constructivos"/>
  </protectedRanges>
  <mergeCells count="36">
    <mergeCell ref="M25:N25"/>
    <mergeCell ref="H27:I27"/>
    <mergeCell ref="E29:N29"/>
    <mergeCell ref="L27:L28"/>
    <mergeCell ref="H28:I28"/>
    <mergeCell ref="B3:F3"/>
    <mergeCell ref="G3:J3"/>
    <mergeCell ref="K3:N3"/>
    <mergeCell ref="H19:I19"/>
    <mergeCell ref="H23:I23"/>
    <mergeCell ref="B43:N43"/>
    <mergeCell ref="B44:N44"/>
    <mergeCell ref="H36:I36"/>
    <mergeCell ref="J36:J37"/>
    <mergeCell ref="K36:K37"/>
    <mergeCell ref="L36:L37"/>
    <mergeCell ref="B41:O42"/>
    <mergeCell ref="D26:D37"/>
    <mergeCell ref="E35:N35"/>
    <mergeCell ref="E34:N34"/>
    <mergeCell ref="D24:N24"/>
    <mergeCell ref="J23:K23"/>
    <mergeCell ref="L23:M23"/>
    <mergeCell ref="N23:O23"/>
    <mergeCell ref="H37:I37"/>
    <mergeCell ref="M31:M32"/>
    <mergeCell ref="N31:N32"/>
    <mergeCell ref="H32:I32"/>
    <mergeCell ref="L31:L33"/>
    <mergeCell ref="H33:I33"/>
    <mergeCell ref="E31:E32"/>
    <mergeCell ref="H31:I31"/>
    <mergeCell ref="J31:J33"/>
    <mergeCell ref="K31:K33"/>
    <mergeCell ref="G25:I25"/>
    <mergeCell ref="J25:K25"/>
  </mergeCells>
  <dataValidations count="1">
    <dataValidation type="decimal" allowBlank="1" showInputMessage="1" showErrorMessage="1" error="Se recomiendan radios de curvatura de mínmo 2,5 cm y máximo 7,0 cm" prompt="Se recomiendan radios de curvatura de minmo 2,5 cm y maximo 7,0 cm" sqref="K22" xr:uid="{00000000-0002-0000-0700-000000000000}">
      <formula1>2</formula1>
      <formula2>6</formula2>
    </dataValidation>
  </dataValidations>
  <hyperlinks>
    <hyperlink ref="B51" r:id="rId1" xr:uid="{00000000-0004-0000-0700-000000000000}"/>
    <hyperlink ref="H47" r:id="rId2" xr:uid="{00000000-0004-0000-0700-000001000000}"/>
    <hyperlink ref="H51" r:id="rId3" xr:uid="{00000000-0004-0000-0700-000002000000}"/>
    <hyperlink ref="B47" r:id="rId4" xr:uid="{00000000-0004-0000-0700-000003000000}"/>
  </hyperlinks>
  <printOptions horizontalCentered="1"/>
  <pageMargins left="0.70866141732283472" right="0.70866141732283472" top="0.74803149606299213" bottom="0.74803149606299213" header="0.31496062992125984" footer="0.31496062992125984"/>
  <pageSetup scale="38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DATA!$B$15:$B$22</xm:f>
          </x14:formula1>
          <xm:sqref>F33</xm:sqref>
        </x14:dataValidation>
        <x14:dataValidation type="list" allowBlank="1" showInputMessage="1" showErrorMessage="1" xr:uid="{00000000-0002-0000-0700-000002000000}">
          <x14:formula1>
            <xm:f>DATA!$B$57:$B$63</xm:f>
          </x14:formula1>
          <xm:sqref>F36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64"/>
  <sheetViews>
    <sheetView showGridLines="0" view="pageBreakPreview" topLeftCell="A33" zoomScale="60" zoomScaleNormal="60" workbookViewId="0">
      <selection activeCell="C51" sqref="C51"/>
    </sheetView>
  </sheetViews>
  <sheetFormatPr baseColWidth="10" defaultColWidth="11.453125" defaultRowHeight="13.5" x14ac:dyDescent="0.25"/>
  <cols>
    <col min="1" max="1" width="3.81640625" style="106" customWidth="1"/>
    <col min="2" max="2" width="5.1796875" style="106" customWidth="1"/>
    <col min="3" max="3" width="17.90625" style="111" customWidth="1"/>
    <col min="4" max="4" width="21.7265625" style="106" customWidth="1"/>
    <col min="5" max="5" width="35.08984375" style="111" customWidth="1"/>
    <col min="6" max="6" width="12.81640625" style="111" customWidth="1"/>
    <col min="7" max="7" width="20.54296875" style="106" customWidth="1"/>
    <col min="8" max="8" width="8.7265625" style="111" customWidth="1"/>
    <col min="9" max="9" width="15.6328125" style="111" customWidth="1"/>
    <col min="10" max="10" width="10.7265625" style="106" customWidth="1"/>
    <col min="11" max="11" width="23.6328125" style="106" customWidth="1"/>
    <col min="12" max="12" width="21.1796875" style="111" customWidth="1"/>
    <col min="13" max="13" width="22.08984375" style="111" bestFit="1" customWidth="1"/>
    <col min="14" max="14" width="8.08984375" style="111" customWidth="1"/>
    <col min="15" max="15" width="21.36328125" style="106" customWidth="1"/>
    <col min="16" max="16" width="12.26953125" style="106" bestFit="1" customWidth="1"/>
    <col min="17" max="16384" width="11.453125" style="106"/>
  </cols>
  <sheetData>
    <row r="1" spans="2:16" ht="16.399999999999999" customHeight="1" x14ac:dyDescent="0.25">
      <c r="B1" s="103"/>
      <c r="C1" s="104"/>
      <c r="D1" s="105"/>
      <c r="E1" s="104"/>
      <c r="F1" s="104"/>
      <c r="G1" s="105"/>
      <c r="H1" s="104"/>
      <c r="I1" s="104"/>
      <c r="J1" s="105"/>
      <c r="K1" s="105"/>
      <c r="L1" s="104"/>
      <c r="M1" s="104"/>
      <c r="N1" s="161"/>
      <c r="O1" s="119"/>
      <c r="P1" s="163"/>
    </row>
    <row r="2" spans="2:16" ht="129" customHeight="1" x14ac:dyDescent="0.25">
      <c r="B2" s="469"/>
      <c r="C2" s="470"/>
      <c r="D2" s="453"/>
      <c r="E2" s="471"/>
      <c r="F2" s="471"/>
      <c r="G2" s="471"/>
      <c r="H2" s="471"/>
      <c r="I2" s="471"/>
      <c r="J2" s="471"/>
      <c r="K2" s="471"/>
      <c r="L2" s="471"/>
      <c r="M2" s="471"/>
      <c r="N2" s="472"/>
      <c r="O2" s="119"/>
      <c r="P2" s="163"/>
    </row>
    <row r="3" spans="2:16" ht="21" customHeight="1" x14ac:dyDescent="0.25">
      <c r="B3" s="292"/>
      <c r="C3" s="293"/>
      <c r="D3" s="293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119"/>
      <c r="P3" s="163"/>
    </row>
    <row r="4" spans="2:16" ht="18.75" customHeight="1" x14ac:dyDescent="0.25">
      <c r="B4" s="11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251"/>
      <c r="O4" s="119"/>
      <c r="P4" s="163"/>
    </row>
    <row r="5" spans="2:16" ht="16.5" customHeight="1" x14ac:dyDescent="0.25">
      <c r="B5" s="11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251"/>
      <c r="O5" s="119"/>
      <c r="P5" s="163"/>
    </row>
    <row r="6" spans="2:16" ht="16.5" customHeight="1" x14ac:dyDescent="0.25">
      <c r="B6" s="11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251"/>
      <c r="O6" s="119"/>
      <c r="P6" s="163"/>
    </row>
    <row r="7" spans="2:16" ht="16.5" customHeight="1" x14ac:dyDescent="0.25">
      <c r="B7" s="204"/>
      <c r="C7" s="152"/>
      <c r="D7" s="152"/>
      <c r="E7" s="152"/>
      <c r="F7" s="152"/>
      <c r="G7" s="152"/>
      <c r="H7" s="244"/>
      <c r="I7" s="120"/>
      <c r="J7" s="319"/>
      <c r="K7" s="319"/>
      <c r="L7" s="320"/>
      <c r="M7" s="320"/>
      <c r="N7" s="252"/>
      <c r="O7" s="119"/>
      <c r="P7" s="163"/>
    </row>
    <row r="8" spans="2:16" ht="18" customHeight="1" x14ac:dyDescent="0.25">
      <c r="B8" s="204"/>
      <c r="C8" s="152"/>
      <c r="D8" s="152"/>
      <c r="E8" s="152"/>
      <c r="F8" s="152"/>
      <c r="G8" s="152"/>
      <c r="H8" s="244"/>
      <c r="I8" s="120"/>
      <c r="J8" s="321"/>
      <c r="K8" s="321"/>
      <c r="L8" s="305"/>
      <c r="M8" s="305"/>
      <c r="N8" s="253"/>
      <c r="O8" s="119"/>
      <c r="P8" s="163"/>
    </row>
    <row r="9" spans="2:16" ht="18" customHeight="1" x14ac:dyDescent="0.25">
      <c r="B9" s="204"/>
      <c r="C9" s="152"/>
      <c r="D9" s="152"/>
      <c r="E9" s="152"/>
      <c r="F9" s="152"/>
      <c r="G9" s="152"/>
      <c r="H9" s="244"/>
      <c r="I9" s="120"/>
      <c r="J9" s="321"/>
      <c r="K9" s="321"/>
      <c r="L9" s="305"/>
      <c r="M9" s="305"/>
      <c r="N9" s="254"/>
      <c r="O9" s="119"/>
      <c r="P9" s="163"/>
    </row>
    <row r="10" spans="2:16" ht="18" customHeight="1" x14ac:dyDescent="0.25">
      <c r="B10" s="204"/>
      <c r="C10" s="152"/>
      <c r="D10" s="152"/>
      <c r="E10" s="152"/>
      <c r="F10" s="152"/>
      <c r="G10" s="152"/>
      <c r="H10" s="244"/>
      <c r="I10" s="120"/>
      <c r="J10" s="245"/>
      <c r="K10" s="245"/>
      <c r="L10" s="295"/>
      <c r="M10" s="295"/>
      <c r="N10" s="252"/>
      <c r="O10" s="119"/>
      <c r="P10" s="163"/>
    </row>
    <row r="11" spans="2:16" ht="8.15" customHeight="1" x14ac:dyDescent="0.25">
      <c r="B11" s="11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251"/>
      <c r="O11" s="119"/>
      <c r="P11" s="163"/>
    </row>
    <row r="12" spans="2:16" ht="16.399999999999999" customHeight="1" x14ac:dyDescent="0.25">
      <c r="B12" s="11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251"/>
      <c r="O12" s="119"/>
      <c r="P12" s="163"/>
    </row>
    <row r="13" spans="2:16" ht="87" customHeight="1" x14ac:dyDescent="0.25">
      <c r="B13" s="11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251"/>
      <c r="O13" s="120"/>
      <c r="P13" s="163"/>
    </row>
    <row r="14" spans="2:16" ht="40" customHeight="1" thickBot="1" x14ac:dyDescent="0.3">
      <c r="B14" s="110"/>
      <c r="C14" s="120"/>
      <c r="D14" s="120"/>
      <c r="E14" s="120"/>
      <c r="F14" s="120"/>
      <c r="G14" s="211"/>
      <c r="H14" s="211"/>
      <c r="I14" s="211"/>
      <c r="J14" s="120"/>
      <c r="K14" s="120"/>
      <c r="L14" s="120"/>
      <c r="M14" s="120"/>
      <c r="N14" s="251"/>
      <c r="O14" s="203"/>
    </row>
    <row r="15" spans="2:16" ht="40" customHeight="1" x14ac:dyDescent="0.25">
      <c r="B15" s="110"/>
      <c r="C15" s="120"/>
      <c r="D15" s="120"/>
      <c r="E15" s="120"/>
      <c r="F15" s="120"/>
      <c r="G15" s="211"/>
      <c r="H15" s="211"/>
      <c r="I15" s="209" t="s">
        <v>102</v>
      </c>
      <c r="J15" s="210" t="s">
        <v>103</v>
      </c>
      <c r="K15" s="210" t="s">
        <v>104</v>
      </c>
      <c r="L15" s="210" t="s">
        <v>106</v>
      </c>
      <c r="M15" s="223" t="s">
        <v>107</v>
      </c>
      <c r="N15" s="251"/>
      <c r="O15" s="203"/>
    </row>
    <row r="16" spans="2:16" ht="40" customHeight="1" thickBot="1" x14ac:dyDescent="0.3">
      <c r="B16" s="110"/>
      <c r="C16" s="120"/>
      <c r="D16" s="120"/>
      <c r="E16" s="120"/>
      <c r="F16" s="120"/>
      <c r="G16" s="120"/>
      <c r="H16" s="211"/>
      <c r="I16" s="112">
        <v>3</v>
      </c>
      <c r="J16" s="233">
        <v>10</v>
      </c>
      <c r="K16" s="233">
        <v>10</v>
      </c>
      <c r="L16" s="233">
        <v>5400</v>
      </c>
      <c r="M16" s="237">
        <f>PI()/4*I16/10*((((J16^2+K16^2)/2)^0.5)+(((J16-I16/10)^2+(K16-I16/10)^2)/2)^0.5)</f>
        <v>4.6417031456789193</v>
      </c>
      <c r="N16" s="251"/>
      <c r="O16" s="203"/>
    </row>
    <row r="17" spans="2:16" ht="40" customHeight="1" x14ac:dyDescent="0.25">
      <c r="B17" s="205"/>
      <c r="C17" s="255"/>
      <c r="D17" s="256"/>
      <c r="E17" s="255"/>
      <c r="F17" s="255"/>
      <c r="G17" s="256"/>
      <c r="H17" s="255"/>
      <c r="I17" s="255"/>
      <c r="J17" s="256"/>
      <c r="K17" s="256"/>
      <c r="L17" s="255"/>
      <c r="M17" s="257"/>
      <c r="N17" s="251"/>
    </row>
    <row r="18" spans="2:16" ht="48.5" customHeight="1" thickBot="1" x14ac:dyDescent="0.3">
      <c r="B18" s="205"/>
      <c r="C18" s="255"/>
      <c r="D18" s="256"/>
      <c r="E18" s="255"/>
      <c r="F18" s="255"/>
      <c r="G18" s="256"/>
      <c r="H18" s="255"/>
      <c r="I18" s="255"/>
      <c r="J18" s="256"/>
      <c r="K18" s="256"/>
      <c r="L18" s="255"/>
      <c r="M18" s="257"/>
      <c r="N18" s="251"/>
    </row>
    <row r="19" spans="2:16" ht="25" customHeight="1" thickBot="1" x14ac:dyDescent="0.3">
      <c r="B19" s="354"/>
      <c r="C19" s="475" t="s">
        <v>218</v>
      </c>
      <c r="D19" s="476"/>
      <c r="E19" s="476"/>
      <c r="F19" s="476"/>
      <c r="G19" s="476"/>
      <c r="H19" s="476"/>
      <c r="I19" s="476"/>
      <c r="J19" s="476"/>
      <c r="K19" s="476"/>
      <c r="L19" s="476"/>
      <c r="M19" s="477"/>
      <c r="N19" s="356"/>
    </row>
    <row r="20" spans="2:16" ht="58.4" customHeight="1" thickBot="1" x14ac:dyDescent="0.3">
      <c r="B20" s="354"/>
      <c r="C20" s="270" t="s">
        <v>109</v>
      </c>
      <c r="D20" s="299" t="s">
        <v>152</v>
      </c>
      <c r="E20" s="299" t="s">
        <v>0</v>
      </c>
      <c r="F20" s="473" t="s">
        <v>3</v>
      </c>
      <c r="G20" s="473"/>
      <c r="H20" s="473" t="s">
        <v>1</v>
      </c>
      <c r="I20" s="473"/>
      <c r="J20" s="473"/>
      <c r="K20" s="299" t="s">
        <v>153</v>
      </c>
      <c r="L20" s="473" t="s">
        <v>4</v>
      </c>
      <c r="M20" s="474"/>
      <c r="N20" s="356"/>
    </row>
    <row r="21" spans="2:16" ht="20" customHeight="1" x14ac:dyDescent="0.25">
      <c r="B21" s="354"/>
      <c r="C21" s="482" t="s">
        <v>127</v>
      </c>
      <c r="D21" s="463" t="s">
        <v>114</v>
      </c>
      <c r="E21" s="464"/>
      <c r="F21" s="464"/>
      <c r="G21" s="464"/>
      <c r="H21" s="464"/>
      <c r="I21" s="464"/>
      <c r="J21" s="464"/>
      <c r="K21" s="464"/>
      <c r="L21" s="464"/>
      <c r="M21" s="465"/>
      <c r="N21" s="356"/>
    </row>
    <row r="22" spans="2:16" ht="15" x14ac:dyDescent="0.25">
      <c r="B22" s="354"/>
      <c r="C22" s="483"/>
      <c r="D22" s="291">
        <v>6557</v>
      </c>
      <c r="E22" s="128" t="s">
        <v>115</v>
      </c>
      <c r="F22" s="206">
        <v>1</v>
      </c>
      <c r="G22" s="206" t="s">
        <v>116</v>
      </c>
      <c r="H22" s="206" t="s">
        <v>192</v>
      </c>
      <c r="I22" s="206">
        <v>0.4</v>
      </c>
      <c r="J22" s="206" t="s">
        <v>154</v>
      </c>
      <c r="K22" s="478">
        <f>(PI()/2*(((J16^2+K16^2)/2)^0.5))/100*L16</f>
        <v>848.23001646924411</v>
      </c>
      <c r="L22" s="238">
        <f>ROUNDUP((($K$22*$I$22)/3)*1.05,0)</f>
        <v>119</v>
      </c>
      <c r="M22" s="339" t="str">
        <f>G22</f>
        <v>Kit x 3 Kg</v>
      </c>
      <c r="N22" s="356"/>
    </row>
    <row r="23" spans="2:16" ht="15" x14ac:dyDescent="0.25">
      <c r="B23" s="354"/>
      <c r="C23" s="483"/>
      <c r="D23" s="291">
        <v>2014</v>
      </c>
      <c r="E23" s="128" t="s">
        <v>119</v>
      </c>
      <c r="F23" s="206">
        <v>1</v>
      </c>
      <c r="G23" s="206" t="s">
        <v>18</v>
      </c>
      <c r="H23" s="206" t="s">
        <v>155</v>
      </c>
      <c r="I23" s="239">
        <v>200</v>
      </c>
      <c r="J23" s="206" t="s">
        <v>154</v>
      </c>
      <c r="K23" s="479"/>
      <c r="L23" s="238">
        <f>ROUNDUP((($K$22/$I$23))*1.05,0)</f>
        <v>5</v>
      </c>
      <c r="M23" s="340" t="s">
        <v>13</v>
      </c>
      <c r="N23" s="356"/>
    </row>
    <row r="24" spans="2:16" ht="15.5" thickBot="1" x14ac:dyDescent="0.3">
      <c r="B24" s="354"/>
      <c r="C24" s="483"/>
      <c r="D24" s="217"/>
      <c r="E24" s="218"/>
      <c r="F24" s="240"/>
      <c r="G24" s="240"/>
      <c r="H24" s="240"/>
      <c r="I24" s="241"/>
      <c r="J24" s="240"/>
      <c r="K24" s="219"/>
      <c r="L24" s="242"/>
      <c r="M24" s="341"/>
      <c r="N24" s="356"/>
      <c r="P24" s="221"/>
    </row>
    <row r="25" spans="2:16" ht="22.5" customHeight="1" x14ac:dyDescent="0.25">
      <c r="B25" s="354"/>
      <c r="C25" s="483"/>
      <c r="D25" s="463" t="s">
        <v>161</v>
      </c>
      <c r="E25" s="464"/>
      <c r="F25" s="464"/>
      <c r="G25" s="464"/>
      <c r="H25" s="464"/>
      <c r="I25" s="464"/>
      <c r="J25" s="464"/>
      <c r="K25" s="464"/>
      <c r="L25" s="464"/>
      <c r="M25" s="465"/>
      <c r="N25" s="356"/>
    </row>
    <row r="26" spans="2:16" ht="14.5" customHeight="1" x14ac:dyDescent="0.25">
      <c r="B26" s="354"/>
      <c r="C26" s="483"/>
      <c r="D26" s="351">
        <v>4005</v>
      </c>
      <c r="E26" s="128" t="s">
        <v>76</v>
      </c>
      <c r="F26" s="206">
        <v>1</v>
      </c>
      <c r="G26" s="206" t="s">
        <v>158</v>
      </c>
      <c r="H26" s="480" t="s">
        <v>156</v>
      </c>
      <c r="I26" s="480">
        <v>4.6500000000000004</v>
      </c>
      <c r="J26" s="480" t="s">
        <v>167</v>
      </c>
      <c r="K26" s="481">
        <f>M16/10000*1000*L16</f>
        <v>2506.5196986666165</v>
      </c>
      <c r="L26" s="208">
        <f>ROUNDUP((K26/I26)*1.05,0)</f>
        <v>566</v>
      </c>
      <c r="M26" s="342" t="str">
        <f>G26</f>
        <v>Unidad x 1,22 Kg</v>
      </c>
      <c r="N26" s="356"/>
    </row>
    <row r="27" spans="2:16" ht="14.5" customHeight="1" x14ac:dyDescent="0.25">
      <c r="B27" s="354"/>
      <c r="C27" s="483"/>
      <c r="D27" s="351">
        <v>4017</v>
      </c>
      <c r="E27" s="128" t="s">
        <v>159</v>
      </c>
      <c r="F27" s="206">
        <v>2</v>
      </c>
      <c r="G27" s="206" t="s">
        <v>123</v>
      </c>
      <c r="H27" s="480"/>
      <c r="I27" s="480"/>
      <c r="J27" s="480"/>
      <c r="K27" s="481"/>
      <c r="L27" s="208">
        <f>+L26*F28</f>
        <v>1132</v>
      </c>
      <c r="M27" s="342" t="str">
        <f>G27</f>
        <v>Bolsa x 8,78 Kg</v>
      </c>
      <c r="N27" s="356"/>
    </row>
    <row r="28" spans="2:16" ht="18.5" customHeight="1" x14ac:dyDescent="0.25">
      <c r="B28" s="354"/>
      <c r="C28" s="483"/>
      <c r="D28" s="351">
        <f>VLOOKUP(E28,DATA!B15:F22,2,0)</f>
        <v>6513</v>
      </c>
      <c r="E28" s="265" t="s">
        <v>204</v>
      </c>
      <c r="F28" s="206">
        <f>VLOOKUP(E28,DATA!B15:F22,5,0)</f>
        <v>2</v>
      </c>
      <c r="G28" s="206" t="s">
        <v>213</v>
      </c>
      <c r="H28" s="480"/>
      <c r="I28" s="480"/>
      <c r="J28" s="480"/>
      <c r="K28" s="481"/>
      <c r="L28" s="208">
        <f>L26*F28</f>
        <v>1132</v>
      </c>
      <c r="M28" s="342" t="str">
        <f>G28</f>
        <v>Unidad x 0,45 Kg</v>
      </c>
      <c r="N28" s="356"/>
    </row>
    <row r="29" spans="2:16" ht="14.5" customHeight="1" thickBot="1" x14ac:dyDescent="0.3">
      <c r="B29" s="354"/>
      <c r="C29" s="483"/>
      <c r="D29" s="357"/>
      <c r="E29" s="240"/>
      <c r="F29" s="240"/>
      <c r="G29" s="240"/>
      <c r="H29" s="358"/>
      <c r="I29" s="358"/>
      <c r="J29" s="358"/>
      <c r="K29" s="359"/>
      <c r="L29" s="360"/>
      <c r="M29" s="341"/>
      <c r="N29" s="356"/>
      <c r="P29" s="221"/>
    </row>
    <row r="30" spans="2:16" ht="22" customHeight="1" x14ac:dyDescent="0.25">
      <c r="B30" s="354"/>
      <c r="C30" s="483"/>
      <c r="D30" s="463" t="s">
        <v>124</v>
      </c>
      <c r="E30" s="464"/>
      <c r="F30" s="464"/>
      <c r="G30" s="464"/>
      <c r="H30" s="464"/>
      <c r="I30" s="464"/>
      <c r="J30" s="464"/>
      <c r="K30" s="464"/>
      <c r="L30" s="464"/>
      <c r="M30" s="465"/>
      <c r="N30" s="356"/>
    </row>
    <row r="31" spans="2:16" ht="30" customHeight="1" x14ac:dyDescent="0.25">
      <c r="B31" s="354"/>
      <c r="C31" s="483"/>
      <c r="D31" s="291">
        <f>VLOOKUP(E31,DATA!B57:H63,2,0)</f>
        <v>7940</v>
      </c>
      <c r="E31" s="266" t="s">
        <v>33</v>
      </c>
      <c r="F31" s="288">
        <v>1</v>
      </c>
      <c r="G31" s="288" t="str">
        <f>VLOOKUP(E31,DATA!B57:H63,4,0)</f>
        <v>Kit x 32 Lb - 15,4 kg</v>
      </c>
      <c r="H31" s="441" t="s">
        <v>162</v>
      </c>
      <c r="I31" s="441">
        <f>VLOOKUP(E31,DATA!B57:H63,5,0)</f>
        <v>22.2</v>
      </c>
      <c r="J31" s="441" t="s">
        <v>128</v>
      </c>
      <c r="K31" s="478">
        <f>(PI()/2*((((J16)^2+(K16)^2)/2)^0.5))/100*L16</f>
        <v>848.23001646924411</v>
      </c>
      <c r="L31" s="289">
        <f>ROUNDUP(((K31/I31))*1.05,0)</f>
        <v>41</v>
      </c>
      <c r="M31" s="343" t="str">
        <f>G31</f>
        <v>Kit x 32 Lb - 15,4 kg</v>
      </c>
      <c r="N31" s="356"/>
    </row>
    <row r="32" spans="2:16" ht="17.5" customHeight="1" x14ac:dyDescent="0.25">
      <c r="B32" s="354"/>
      <c r="C32" s="483"/>
      <c r="D32" s="351">
        <f>D28</f>
        <v>6513</v>
      </c>
      <c r="E32" s="128" t="str">
        <f>E28</f>
        <v>MONOPUR PIGM GRIS P/D *0.45kg</v>
      </c>
      <c r="F32" s="288">
        <f>F28</f>
        <v>2</v>
      </c>
      <c r="G32" s="206" t="s">
        <v>213</v>
      </c>
      <c r="H32" s="441"/>
      <c r="I32" s="441"/>
      <c r="J32" s="441"/>
      <c r="K32" s="479"/>
      <c r="L32" s="289">
        <f>L31*F32</f>
        <v>82</v>
      </c>
      <c r="M32" s="344" t="s">
        <v>214</v>
      </c>
      <c r="N32" s="356"/>
    </row>
    <row r="33" spans="2:17" ht="18.5" customHeight="1" thickBot="1" x14ac:dyDescent="0.3">
      <c r="B33" s="354"/>
      <c r="C33" s="484"/>
      <c r="D33" s="234"/>
      <c r="E33" s="213"/>
      <c r="F33" s="213"/>
      <c r="G33" s="213"/>
      <c r="H33" s="213"/>
      <c r="I33" s="213"/>
      <c r="J33" s="213"/>
      <c r="K33" s="213"/>
      <c r="L33" s="220"/>
      <c r="M33" s="345"/>
      <c r="N33" s="356"/>
      <c r="P33" s="221"/>
    </row>
    <row r="34" spans="2:17" ht="17.149999999999999" customHeight="1" x14ac:dyDescent="0.25">
      <c r="B34" s="107"/>
      <c r="C34" s="127"/>
      <c r="D34" s="119"/>
      <c r="E34" s="127"/>
      <c r="F34" s="127"/>
      <c r="G34" s="119"/>
      <c r="H34" s="127"/>
      <c r="I34" s="127"/>
      <c r="J34" s="119"/>
      <c r="K34" s="119"/>
      <c r="L34" s="127"/>
      <c r="M34" s="127"/>
      <c r="N34" s="162"/>
    </row>
    <row r="35" spans="2:17" ht="17.149999999999999" customHeight="1" x14ac:dyDescent="0.25">
      <c r="B35" s="107"/>
      <c r="C35" s="127"/>
      <c r="D35" s="119"/>
      <c r="E35" s="127"/>
      <c r="F35" s="127"/>
      <c r="G35" s="119"/>
      <c r="H35" s="127"/>
      <c r="I35" s="127"/>
      <c r="J35" s="119"/>
      <c r="K35" s="119"/>
      <c r="L35" s="127"/>
      <c r="M35" s="127"/>
      <c r="N35" s="162"/>
    </row>
    <row r="36" spans="2:17" ht="18" customHeight="1" x14ac:dyDescent="0.25">
      <c r="B36" s="48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62"/>
      <c r="O36" s="163"/>
      <c r="P36" s="163"/>
      <c r="Q36" s="163"/>
    </row>
    <row r="37" spans="2:17" ht="18" customHeight="1" x14ac:dyDescent="0.25">
      <c r="B37" s="48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62"/>
      <c r="O37" s="163"/>
      <c r="P37" s="163"/>
      <c r="Q37" s="163"/>
    </row>
    <row r="38" spans="2:17" ht="18" customHeight="1" x14ac:dyDescent="0.25">
      <c r="B38" s="165" t="s">
        <v>125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258"/>
      <c r="O38" s="127"/>
      <c r="P38" s="163"/>
      <c r="Q38" s="163"/>
    </row>
    <row r="39" spans="2:17" ht="13.5" customHeight="1" x14ac:dyDescent="0.25">
      <c r="B39" s="439" t="s">
        <v>22</v>
      </c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5"/>
      <c r="O39" s="224"/>
      <c r="P39" s="163"/>
      <c r="Q39" s="163"/>
    </row>
    <row r="40" spans="2:17" ht="18" customHeight="1" x14ac:dyDescent="0.25">
      <c r="B40" s="439"/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5"/>
      <c r="O40" s="224"/>
      <c r="P40" s="163"/>
      <c r="Q40" s="163"/>
    </row>
    <row r="41" spans="2:17" ht="18" customHeight="1" x14ac:dyDescent="0.25">
      <c r="B41" s="437" t="s">
        <v>126</v>
      </c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85"/>
      <c r="O41" s="127"/>
      <c r="P41" s="163"/>
      <c r="Q41" s="163"/>
    </row>
    <row r="42" spans="2:17" ht="18" customHeight="1" x14ac:dyDescent="0.25">
      <c r="B42" s="439" t="s">
        <v>23</v>
      </c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5"/>
      <c r="O42" s="127"/>
      <c r="P42" s="163"/>
      <c r="Q42" s="163"/>
    </row>
    <row r="43" spans="2:17" ht="18" customHeight="1" x14ac:dyDescent="0.25">
      <c r="B43" s="139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67"/>
      <c r="O43" s="127"/>
      <c r="P43" s="163"/>
      <c r="Q43" s="163"/>
    </row>
    <row r="44" spans="2:17" ht="20.5" customHeight="1" x14ac:dyDescent="0.35">
      <c r="B44" s="23" t="s">
        <v>216</v>
      </c>
      <c r="C44" s="166"/>
      <c r="D44" s="127"/>
      <c r="E44" s="117"/>
      <c r="F44" s="122"/>
      <c r="G44" s="122"/>
      <c r="H44" s="89" t="s">
        <v>63</v>
      </c>
      <c r="I44" s="122"/>
      <c r="J44" s="122"/>
      <c r="K44" s="122"/>
      <c r="L44" s="122"/>
      <c r="M44" s="122"/>
      <c r="N44" s="259"/>
      <c r="O44" s="127"/>
      <c r="P44" s="163"/>
      <c r="Q44" s="163"/>
    </row>
    <row r="45" spans="2:17" ht="14.5" x14ac:dyDescent="0.35">
      <c r="B45" s="25" t="s">
        <v>165</v>
      </c>
      <c r="C45" s="140"/>
      <c r="D45" s="140"/>
      <c r="E45" s="140"/>
      <c r="F45" s="140"/>
      <c r="G45" s="140"/>
      <c r="H45" s="90" t="s">
        <v>82</v>
      </c>
      <c r="I45" s="140"/>
      <c r="J45" s="140"/>
      <c r="K45" s="140"/>
      <c r="L45" s="140"/>
      <c r="M45" s="140"/>
      <c r="N45" s="167"/>
      <c r="O45" s="140"/>
      <c r="P45" s="163"/>
      <c r="Q45" s="163"/>
    </row>
    <row r="46" spans="2:17" ht="13.5" customHeight="1" x14ac:dyDescent="0.3">
      <c r="B46" s="23" t="s">
        <v>80</v>
      </c>
      <c r="C46" s="140"/>
      <c r="D46" s="140"/>
      <c r="E46" s="140"/>
      <c r="F46" s="140"/>
      <c r="G46" s="140"/>
      <c r="H46" s="89" t="s">
        <v>83</v>
      </c>
      <c r="I46" s="140"/>
      <c r="J46" s="140"/>
      <c r="K46" s="140"/>
      <c r="L46" s="140"/>
      <c r="M46" s="140"/>
      <c r="N46" s="167"/>
      <c r="O46" s="140"/>
      <c r="P46" s="163"/>
      <c r="Q46" s="163"/>
    </row>
    <row r="47" spans="2:17" ht="14.5" x14ac:dyDescent="0.35">
      <c r="B47" s="25" t="s">
        <v>78</v>
      </c>
      <c r="C47" s="140"/>
      <c r="D47" s="140"/>
      <c r="E47" s="140"/>
      <c r="F47" s="140"/>
      <c r="G47" s="140"/>
      <c r="H47" s="90" t="s">
        <v>84</v>
      </c>
      <c r="I47" s="140"/>
      <c r="J47" s="140"/>
      <c r="K47" s="140"/>
      <c r="L47" s="140"/>
      <c r="M47" s="140"/>
      <c r="N47" s="167"/>
      <c r="O47" s="140"/>
      <c r="P47" s="163"/>
      <c r="Q47" s="163"/>
    </row>
    <row r="48" spans="2:17" ht="14" x14ac:dyDescent="0.3">
      <c r="B48" s="23" t="s">
        <v>81</v>
      </c>
      <c r="C48" s="140"/>
      <c r="D48" s="140"/>
      <c r="E48" s="140"/>
      <c r="F48" s="140"/>
      <c r="G48" s="140"/>
      <c r="H48" s="91" t="s">
        <v>64</v>
      </c>
      <c r="I48" s="140"/>
      <c r="J48" s="140"/>
      <c r="K48" s="140"/>
      <c r="L48" s="140"/>
      <c r="M48" s="140"/>
      <c r="N48" s="167"/>
      <c r="O48" s="140"/>
      <c r="P48" s="163"/>
      <c r="Q48" s="163"/>
    </row>
    <row r="49" spans="2:17" ht="14.5" x14ac:dyDescent="0.35">
      <c r="B49" s="25" t="s">
        <v>79</v>
      </c>
      <c r="C49" s="140"/>
      <c r="D49" s="140"/>
      <c r="E49" s="140"/>
      <c r="F49" s="140"/>
      <c r="G49" s="140"/>
      <c r="H49" s="92" t="s">
        <v>85</v>
      </c>
      <c r="I49" s="140"/>
      <c r="J49" s="140"/>
      <c r="K49" s="140"/>
      <c r="L49" s="140"/>
      <c r="M49" s="140"/>
      <c r="N49" s="167"/>
      <c r="O49" s="140"/>
      <c r="P49" s="163"/>
      <c r="Q49" s="163"/>
    </row>
    <row r="50" spans="2:17" ht="14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67"/>
      <c r="O50" s="140"/>
      <c r="P50" s="163"/>
      <c r="Q50" s="163"/>
    </row>
    <row r="51" spans="2:17" ht="14" x14ac:dyDescent="0.25">
      <c r="B51" s="139"/>
      <c r="C51" s="55" t="s">
        <v>231</v>
      </c>
      <c r="D51" s="119"/>
      <c r="E51" s="119"/>
      <c r="F51" s="119"/>
      <c r="G51" s="119"/>
      <c r="H51" s="163"/>
      <c r="I51" s="140"/>
      <c r="J51" s="140"/>
      <c r="K51" s="140"/>
      <c r="L51" s="140"/>
      <c r="M51" s="140"/>
      <c r="N51" s="167"/>
      <c r="O51" s="140"/>
      <c r="P51" s="163"/>
      <c r="Q51" s="163"/>
    </row>
    <row r="52" spans="2:17" ht="14" x14ac:dyDescent="0.25">
      <c r="B52" s="118"/>
      <c r="C52" s="119"/>
      <c r="D52" s="28"/>
      <c r="E52" s="28"/>
      <c r="F52" s="28"/>
      <c r="G52" s="28"/>
      <c r="H52" s="28"/>
      <c r="I52" s="140"/>
      <c r="J52" s="140"/>
      <c r="K52" s="140"/>
      <c r="L52" s="140"/>
      <c r="M52" s="140"/>
      <c r="N52" s="167"/>
      <c r="O52" s="140"/>
      <c r="P52" s="163"/>
      <c r="Q52" s="163"/>
    </row>
    <row r="53" spans="2:17" ht="14" x14ac:dyDescent="0.25">
      <c r="B53" s="118"/>
      <c r="C53" s="119"/>
      <c r="D53" s="346"/>
      <c r="E53" s="346"/>
      <c r="F53" s="346"/>
      <c r="G53" s="346"/>
      <c r="H53" s="346"/>
      <c r="I53" s="140"/>
      <c r="J53" s="140"/>
      <c r="K53" s="140"/>
      <c r="L53" s="140"/>
      <c r="M53" s="140"/>
      <c r="N53" s="167"/>
      <c r="O53" s="140"/>
      <c r="P53" s="163"/>
      <c r="Q53" s="163"/>
    </row>
    <row r="54" spans="2:17" ht="92" customHeight="1" x14ac:dyDescent="0.25">
      <c r="B54" s="118"/>
      <c r="C54" s="119"/>
      <c r="D54" s="346"/>
      <c r="E54" s="346"/>
      <c r="F54" s="346"/>
      <c r="G54" s="346"/>
      <c r="H54" s="346"/>
      <c r="I54" s="140"/>
      <c r="J54" s="140"/>
      <c r="K54" s="140"/>
      <c r="L54" s="140"/>
      <c r="M54" s="140"/>
      <c r="N54" s="167"/>
      <c r="O54" s="140"/>
      <c r="P54" s="163"/>
      <c r="Q54" s="163"/>
    </row>
    <row r="55" spans="2:17" ht="14.5" customHeight="1" x14ac:dyDescent="0.35">
      <c r="B55" s="118"/>
      <c r="C55" s="119"/>
      <c r="D55" s="347"/>
      <c r="E55" s="346"/>
      <c r="F55" s="346"/>
      <c r="G55" s="346"/>
      <c r="H55" s="346"/>
      <c r="I55" s="119"/>
      <c r="J55" s="127"/>
      <c r="K55" s="119"/>
      <c r="L55" s="127"/>
      <c r="M55" s="127"/>
      <c r="N55" s="162"/>
      <c r="O55" s="127"/>
      <c r="P55" s="163"/>
      <c r="Q55" s="163"/>
    </row>
    <row r="56" spans="2:17" x14ac:dyDescent="0.25">
      <c r="B56" s="118"/>
      <c r="C56" s="163"/>
      <c r="D56" s="127"/>
      <c r="E56" s="119"/>
      <c r="F56" s="127"/>
      <c r="G56" s="127"/>
      <c r="H56" s="119"/>
      <c r="I56" s="127"/>
      <c r="J56" s="127"/>
      <c r="K56" s="127"/>
      <c r="L56" s="127"/>
      <c r="M56" s="127"/>
      <c r="N56" s="162"/>
      <c r="O56" s="127"/>
      <c r="P56" s="163"/>
      <c r="Q56" s="163"/>
    </row>
    <row r="57" spans="2:17" x14ac:dyDescent="0.25">
      <c r="B57" s="118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62"/>
      <c r="O57" s="163"/>
      <c r="P57" s="163"/>
      <c r="Q57" s="163"/>
    </row>
    <row r="58" spans="2:17" x14ac:dyDescent="0.25">
      <c r="B58" s="118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62"/>
      <c r="O58" s="163"/>
      <c r="P58" s="163"/>
      <c r="Q58" s="163"/>
    </row>
    <row r="59" spans="2:17" ht="14" thickBot="1" x14ac:dyDescent="0.3">
      <c r="B59" s="260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261"/>
      <c r="O59" s="163"/>
      <c r="P59" s="163"/>
    </row>
    <row r="60" spans="2:17" x14ac:dyDescent="0.25">
      <c r="O60" s="163"/>
      <c r="P60" s="163"/>
    </row>
    <row r="61" spans="2:17" x14ac:dyDescent="0.25">
      <c r="O61" s="163"/>
      <c r="P61" s="163"/>
    </row>
    <row r="62" spans="2:17" x14ac:dyDescent="0.25">
      <c r="O62" s="163"/>
      <c r="P62" s="163"/>
    </row>
    <row r="63" spans="2:17" x14ac:dyDescent="0.25">
      <c r="O63" s="163"/>
      <c r="P63" s="163"/>
    </row>
    <row r="64" spans="2:17" x14ac:dyDescent="0.25">
      <c r="O64" s="163"/>
      <c r="P64" s="163"/>
    </row>
  </sheetData>
  <sheetProtection algorithmName="SHA-512" hashValue="rj+zlW4CO5BsNidT+WG5V53Dde2LOvmI2r8Hok3p20i9kWep4B1+LbioYhggXE73VHh/Ix9AYU57TIliSGo29g==" saltValue="pUmGokXQR9FbMUR09Paa/g==" spinCount="100000" sheet="1" objects="1" scenarios="1"/>
  <protectedRanges>
    <protectedRange sqref="H49:L49" name="Detalles Constructivos"/>
    <protectedRange sqref="H47:M47" name="Guia instalacion"/>
    <protectedRange sqref="H45:L45" name="Resistencias Quimicas"/>
    <protectedRange sqref="B49:F49" name="Hoja Tecnica 3"/>
    <protectedRange sqref="B47:D47" name="Hoja Tecnica 2"/>
    <protectedRange sqref="B45:F45" name="Hojas Tecnicas 1"/>
    <protectedRange sqref="E32" name="Seleccion Color Sello"/>
    <protectedRange sqref="E31" name="Seleccion Sello"/>
    <protectedRange sqref="E28" name="Seleccion color Pigmento Mortero"/>
    <protectedRange sqref="I16:L16" name="Especificaciones iniciales"/>
  </protectedRanges>
  <mergeCells count="23">
    <mergeCell ref="B42:N42"/>
    <mergeCell ref="B39:N40"/>
    <mergeCell ref="B41:N41"/>
    <mergeCell ref="B36:B37"/>
    <mergeCell ref="D21:M21"/>
    <mergeCell ref="D25:M25"/>
    <mergeCell ref="C21:C33"/>
    <mergeCell ref="K31:K32"/>
    <mergeCell ref="D30:M30"/>
    <mergeCell ref="H31:H32"/>
    <mergeCell ref="I31:I32"/>
    <mergeCell ref="J31:J32"/>
    <mergeCell ref="K22:K23"/>
    <mergeCell ref="H26:H28"/>
    <mergeCell ref="I26:I28"/>
    <mergeCell ref="J26:J28"/>
    <mergeCell ref="K26:K28"/>
    <mergeCell ref="B2:D2"/>
    <mergeCell ref="E2:N2"/>
    <mergeCell ref="F20:G20"/>
    <mergeCell ref="H20:J20"/>
    <mergeCell ref="L20:M20"/>
    <mergeCell ref="C19:M19"/>
  </mergeCells>
  <hyperlinks>
    <hyperlink ref="B49" r:id="rId1" xr:uid="{00000000-0004-0000-0800-000000000000}"/>
    <hyperlink ref="H45" r:id="rId2" xr:uid="{00000000-0004-0000-0800-000001000000}"/>
    <hyperlink ref="H49" r:id="rId3" xr:uid="{00000000-0004-0000-0800-000002000000}"/>
    <hyperlink ref="B45" r:id="rId4" xr:uid="{00000000-0004-0000-0800-000003000000}"/>
  </hyperlinks>
  <printOptions horizontalCentered="1"/>
  <pageMargins left="0.70866141732283472" right="0.70866141732283472" top="0.74803149606299213" bottom="0.74803149606299213" header="0.31496062992125984" footer="0.31496062992125984"/>
  <pageSetup scale="40" orientation="portrait" horizontalDpi="300" verticalDpi="300" r:id="rId5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DATA!$B$57:$B$63</xm:f>
          </x14:formula1>
          <xm:sqref>E31</xm:sqref>
        </x14:dataValidation>
        <x14:dataValidation type="list" allowBlank="1" showInputMessage="1" showErrorMessage="1" xr:uid="{00000000-0002-0000-0800-000001000000}">
          <x14:formula1>
            <xm:f>DATA!$B$15:$B$22</xm:f>
          </x14:formula1>
          <xm:sqref>E32 E28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67"/>
  <sheetViews>
    <sheetView tabSelected="1" view="pageBreakPreview" topLeftCell="A25" zoomScale="60" zoomScaleNormal="60" workbookViewId="0">
      <selection activeCell="C50" sqref="C50"/>
    </sheetView>
  </sheetViews>
  <sheetFormatPr baseColWidth="10" defaultColWidth="11.453125" defaultRowHeight="13.5" x14ac:dyDescent="0.25"/>
  <cols>
    <col min="1" max="1" width="3.453125" style="106" customWidth="1"/>
    <col min="2" max="2" width="6.1796875" style="106" customWidth="1"/>
    <col min="3" max="3" width="21.1796875" style="111" customWidth="1"/>
    <col min="4" max="4" width="17.26953125" style="106" customWidth="1"/>
    <col min="5" max="5" width="39.08984375" style="111" customWidth="1"/>
    <col min="6" max="6" width="18.453125" style="111" customWidth="1"/>
    <col min="7" max="7" width="11.1796875" style="106" customWidth="1"/>
    <col min="8" max="8" width="7.1796875" style="111" bestFit="1" customWidth="1"/>
    <col min="9" max="9" width="10.54296875" style="111" customWidth="1"/>
    <col min="10" max="10" width="13.7265625" style="106" bestFit="1" customWidth="1"/>
    <col min="11" max="11" width="15.54296875" style="106" customWidth="1"/>
    <col min="12" max="12" width="18.453125" style="111" customWidth="1"/>
    <col min="13" max="13" width="21.36328125" style="111" customWidth="1"/>
    <col min="14" max="14" width="10.54296875" style="111" customWidth="1"/>
    <col min="15" max="15" width="24.90625" style="106" customWidth="1"/>
    <col min="16" max="16" width="12.26953125" style="106" bestFit="1" customWidth="1"/>
    <col min="17" max="16384" width="11.453125" style="106"/>
  </cols>
  <sheetData>
    <row r="1" spans="2:16" ht="16.399999999999999" customHeight="1" x14ac:dyDescent="0.25">
      <c r="B1" s="103"/>
      <c r="C1" s="104"/>
      <c r="D1" s="105"/>
      <c r="E1" s="104"/>
      <c r="F1" s="104"/>
      <c r="G1" s="105"/>
      <c r="H1" s="104"/>
      <c r="I1" s="104"/>
      <c r="J1" s="105"/>
      <c r="K1" s="105"/>
      <c r="L1" s="104"/>
      <c r="M1" s="104"/>
      <c r="N1" s="161"/>
      <c r="O1" s="119"/>
      <c r="P1" s="163"/>
    </row>
    <row r="2" spans="2:16" ht="129" customHeight="1" x14ac:dyDescent="0.25">
      <c r="B2" s="469"/>
      <c r="C2" s="470"/>
      <c r="D2" s="453"/>
      <c r="E2" s="471"/>
      <c r="F2" s="471"/>
      <c r="G2" s="471"/>
      <c r="H2" s="471"/>
      <c r="I2" s="471"/>
      <c r="J2" s="471"/>
      <c r="K2" s="471"/>
      <c r="L2" s="471"/>
      <c r="M2" s="471"/>
      <c r="N2" s="472"/>
      <c r="O2" s="119"/>
      <c r="P2" s="163"/>
    </row>
    <row r="3" spans="2:16" ht="21" customHeight="1" x14ac:dyDescent="0.25">
      <c r="B3" s="292"/>
      <c r="C3" s="293"/>
      <c r="D3" s="293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119"/>
      <c r="P3" s="163"/>
    </row>
    <row r="4" spans="2:16" ht="18.75" customHeight="1" x14ac:dyDescent="0.25">
      <c r="B4" s="11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251"/>
      <c r="O4" s="119"/>
      <c r="P4" s="163"/>
    </row>
    <row r="5" spans="2:16" ht="16.5" customHeight="1" x14ac:dyDescent="0.25">
      <c r="B5" s="11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251"/>
      <c r="O5" s="119"/>
      <c r="P5" s="163"/>
    </row>
    <row r="6" spans="2:16" ht="16.5" customHeight="1" x14ac:dyDescent="0.25">
      <c r="B6" s="11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251"/>
      <c r="O6" s="119"/>
      <c r="P6" s="163"/>
    </row>
    <row r="7" spans="2:16" ht="16.5" customHeight="1" x14ac:dyDescent="0.25">
      <c r="B7" s="204"/>
      <c r="C7" s="152"/>
      <c r="D7" s="152"/>
      <c r="E7" s="152"/>
      <c r="F7" s="152"/>
      <c r="G7" s="152"/>
      <c r="H7" s="244"/>
      <c r="I7" s="120"/>
      <c r="J7" s="319"/>
      <c r="K7" s="319"/>
      <c r="L7" s="320"/>
      <c r="M7" s="320"/>
      <c r="N7" s="252"/>
      <c r="O7" s="119"/>
      <c r="P7" s="163"/>
    </row>
    <row r="8" spans="2:16" ht="18" customHeight="1" x14ac:dyDescent="0.25">
      <c r="B8" s="204"/>
      <c r="C8" s="152"/>
      <c r="D8" s="152"/>
      <c r="E8" s="152"/>
      <c r="F8" s="152"/>
      <c r="G8" s="152"/>
      <c r="H8" s="244"/>
      <c r="I8" s="120"/>
      <c r="J8" s="321"/>
      <c r="K8" s="321"/>
      <c r="L8" s="305"/>
      <c r="M8" s="305"/>
      <c r="N8" s="253"/>
      <c r="O8" s="119"/>
      <c r="P8" s="163"/>
    </row>
    <row r="9" spans="2:16" ht="18" customHeight="1" x14ac:dyDescent="0.25">
      <c r="B9" s="204"/>
      <c r="C9" s="152"/>
      <c r="D9" s="152"/>
      <c r="E9" s="152"/>
      <c r="F9" s="152"/>
      <c r="G9" s="152"/>
      <c r="H9" s="244"/>
      <c r="I9" s="120"/>
      <c r="J9" s="321"/>
      <c r="K9" s="321"/>
      <c r="L9" s="305"/>
      <c r="M9" s="305"/>
      <c r="N9" s="253"/>
      <c r="O9" s="119"/>
      <c r="P9" s="163"/>
    </row>
    <row r="10" spans="2:16" ht="18" customHeight="1" x14ac:dyDescent="0.25">
      <c r="B10" s="204"/>
      <c r="C10" s="152"/>
      <c r="D10" s="152"/>
      <c r="E10" s="152"/>
      <c r="F10" s="152"/>
      <c r="G10" s="152"/>
      <c r="H10" s="244"/>
      <c r="I10" s="120"/>
      <c r="J10" s="245"/>
      <c r="K10" s="245"/>
      <c r="L10" s="295"/>
      <c r="M10" s="295"/>
      <c r="N10" s="252"/>
      <c r="O10" s="119"/>
      <c r="P10" s="163"/>
    </row>
    <row r="11" spans="2:16" ht="8.15" customHeight="1" x14ac:dyDescent="0.25">
      <c r="B11" s="11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251"/>
      <c r="O11" s="119"/>
      <c r="P11" s="163"/>
    </row>
    <row r="12" spans="2:16" ht="16.399999999999999" customHeight="1" x14ac:dyDescent="0.25">
      <c r="B12" s="11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251"/>
      <c r="O12" s="119"/>
      <c r="P12" s="163"/>
    </row>
    <row r="13" spans="2:16" ht="87" customHeight="1" x14ac:dyDescent="0.25">
      <c r="B13" s="11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251"/>
      <c r="O13" s="120"/>
      <c r="P13" s="163"/>
    </row>
    <row r="14" spans="2:16" ht="40" customHeight="1" x14ac:dyDescent="0.25">
      <c r="B14" s="110"/>
      <c r="C14" s="120"/>
      <c r="D14" s="120"/>
      <c r="E14" s="120"/>
      <c r="F14" s="120"/>
      <c r="G14" s="211"/>
      <c r="H14" s="211"/>
      <c r="I14" s="211"/>
      <c r="J14" s="120"/>
      <c r="K14" s="120"/>
      <c r="L14" s="120"/>
      <c r="M14" s="120"/>
      <c r="N14" s="251"/>
      <c r="O14" s="203"/>
    </row>
    <row r="15" spans="2:16" ht="40" customHeight="1" x14ac:dyDescent="0.25">
      <c r="B15" s="110"/>
      <c r="C15" s="120"/>
      <c r="D15" s="120"/>
      <c r="E15" s="120"/>
      <c r="F15" s="120"/>
      <c r="G15" s="211"/>
      <c r="H15" s="211"/>
      <c r="I15" s="212" t="s">
        <v>102</v>
      </c>
      <c r="J15" s="212" t="s">
        <v>103</v>
      </c>
      <c r="K15" s="212" t="s">
        <v>104</v>
      </c>
      <c r="L15" s="212" t="s">
        <v>106</v>
      </c>
      <c r="M15" s="212" t="s">
        <v>107</v>
      </c>
      <c r="N15" s="251"/>
      <c r="O15" s="203"/>
    </row>
    <row r="16" spans="2:16" ht="40" customHeight="1" x14ac:dyDescent="0.25">
      <c r="B16" s="110"/>
      <c r="C16" s="120"/>
      <c r="D16" s="120"/>
      <c r="E16" s="120"/>
      <c r="F16" s="120"/>
      <c r="G16" s="120"/>
      <c r="H16" s="211"/>
      <c r="I16" s="243">
        <v>2</v>
      </c>
      <c r="J16" s="243">
        <v>40</v>
      </c>
      <c r="K16" s="243">
        <v>14</v>
      </c>
      <c r="L16" s="243">
        <v>5400</v>
      </c>
      <c r="M16" s="236">
        <f>(J16+K16)*I16/10</f>
        <v>10.8</v>
      </c>
      <c r="N16" s="251"/>
      <c r="O16" s="203"/>
    </row>
    <row r="17" spans="2:16" ht="75" customHeight="1" thickBot="1" x14ac:dyDescent="0.3">
      <c r="B17" s="205"/>
      <c r="C17" s="255"/>
      <c r="D17" s="256"/>
      <c r="E17" s="255"/>
      <c r="F17" s="255"/>
      <c r="G17" s="256"/>
      <c r="H17" s="255"/>
      <c r="I17" s="255"/>
      <c r="J17" s="256"/>
      <c r="K17" s="256"/>
      <c r="L17" s="255"/>
      <c r="M17" s="255"/>
      <c r="N17" s="251"/>
    </row>
    <row r="18" spans="2:16" ht="21.5" customHeight="1" thickBot="1" x14ac:dyDescent="0.3">
      <c r="B18" s="354"/>
      <c r="C18" s="325" t="s">
        <v>218</v>
      </c>
      <c r="D18" s="326"/>
      <c r="E18" s="326"/>
      <c r="F18" s="326"/>
      <c r="G18" s="326"/>
      <c r="H18" s="326"/>
      <c r="I18" s="326"/>
      <c r="J18" s="326"/>
      <c r="K18" s="326"/>
      <c r="L18" s="326"/>
      <c r="M18" s="327"/>
      <c r="N18" s="355"/>
    </row>
    <row r="19" spans="2:16" ht="58.4" customHeight="1" thickBot="1" x14ac:dyDescent="0.3">
      <c r="B19" s="354"/>
      <c r="C19" s="270" t="s">
        <v>109</v>
      </c>
      <c r="D19" s="299" t="s">
        <v>152</v>
      </c>
      <c r="E19" s="299" t="s">
        <v>0</v>
      </c>
      <c r="F19" s="473" t="s">
        <v>3</v>
      </c>
      <c r="G19" s="473"/>
      <c r="H19" s="473" t="s">
        <v>1</v>
      </c>
      <c r="I19" s="473"/>
      <c r="J19" s="473"/>
      <c r="K19" s="299" t="s">
        <v>153</v>
      </c>
      <c r="L19" s="473" t="s">
        <v>4</v>
      </c>
      <c r="M19" s="474"/>
      <c r="N19" s="355"/>
    </row>
    <row r="20" spans="2:16" ht="20" customHeight="1" x14ac:dyDescent="0.25">
      <c r="B20" s="354"/>
      <c r="C20" s="482" t="s">
        <v>127</v>
      </c>
      <c r="D20" s="463" t="s">
        <v>114</v>
      </c>
      <c r="E20" s="464"/>
      <c r="F20" s="464"/>
      <c r="G20" s="464"/>
      <c r="H20" s="464"/>
      <c r="I20" s="464"/>
      <c r="J20" s="464"/>
      <c r="K20" s="464"/>
      <c r="L20" s="464"/>
      <c r="M20" s="465"/>
      <c r="N20" s="355"/>
    </row>
    <row r="21" spans="2:16" ht="17" customHeight="1" x14ac:dyDescent="0.25">
      <c r="B21" s="354"/>
      <c r="C21" s="483"/>
      <c r="D21" s="291">
        <v>6557</v>
      </c>
      <c r="E21" s="128" t="s">
        <v>115</v>
      </c>
      <c r="F21" s="206">
        <v>1</v>
      </c>
      <c r="G21" s="206" t="s">
        <v>116</v>
      </c>
      <c r="H21" s="206" t="s">
        <v>192</v>
      </c>
      <c r="I21" s="206">
        <v>0.4</v>
      </c>
      <c r="J21" s="206" t="s">
        <v>154</v>
      </c>
      <c r="K21" s="478">
        <f>(J16+K16)/100*L16</f>
        <v>2916</v>
      </c>
      <c r="L21" s="207">
        <f>ROUNDUP((($K$21*$I$21)/3)*1.05,0)</f>
        <v>409</v>
      </c>
      <c r="M21" s="339" t="str">
        <f>G21</f>
        <v>Kit x 3 Kg</v>
      </c>
      <c r="N21" s="355"/>
    </row>
    <row r="22" spans="2:16" ht="18" customHeight="1" x14ac:dyDescent="0.25">
      <c r="B22" s="354"/>
      <c r="C22" s="483"/>
      <c r="D22" s="291">
        <v>2014</v>
      </c>
      <c r="E22" s="128" t="s">
        <v>119</v>
      </c>
      <c r="F22" s="206">
        <v>1</v>
      </c>
      <c r="G22" s="206" t="s">
        <v>18</v>
      </c>
      <c r="H22" s="206" t="s">
        <v>155</v>
      </c>
      <c r="I22" s="239">
        <v>200</v>
      </c>
      <c r="J22" s="206" t="s">
        <v>154</v>
      </c>
      <c r="K22" s="479"/>
      <c r="L22" s="207">
        <f>ROUNDUP((($K$21/$I$22))*1.05,0)</f>
        <v>16</v>
      </c>
      <c r="M22" s="340" t="s">
        <v>13</v>
      </c>
      <c r="N22" s="355"/>
    </row>
    <row r="23" spans="2:16" ht="15.5" thickBot="1" x14ac:dyDescent="0.3">
      <c r="B23" s="354"/>
      <c r="C23" s="483"/>
      <c r="D23" s="493"/>
      <c r="E23" s="494"/>
      <c r="F23" s="494"/>
      <c r="G23" s="494"/>
      <c r="H23" s="494"/>
      <c r="I23" s="494"/>
      <c r="J23" s="494"/>
      <c r="K23" s="494"/>
      <c r="L23" s="494"/>
      <c r="M23" s="495"/>
      <c r="N23" s="355"/>
      <c r="P23" s="222"/>
    </row>
    <row r="24" spans="2:16" ht="22.5" customHeight="1" x14ac:dyDescent="0.25">
      <c r="B24" s="354"/>
      <c r="C24" s="483"/>
      <c r="D24" s="487" t="s">
        <v>161</v>
      </c>
      <c r="E24" s="488"/>
      <c r="F24" s="488"/>
      <c r="G24" s="488"/>
      <c r="H24" s="488"/>
      <c r="I24" s="488"/>
      <c r="J24" s="488"/>
      <c r="K24" s="488"/>
      <c r="L24" s="488"/>
      <c r="M24" s="489"/>
      <c r="N24" s="355"/>
      <c r="P24" s="227"/>
    </row>
    <row r="25" spans="2:16" ht="18" customHeight="1" x14ac:dyDescent="0.25">
      <c r="B25" s="354"/>
      <c r="C25" s="483"/>
      <c r="D25" s="351">
        <v>4005</v>
      </c>
      <c r="E25" s="128" t="s">
        <v>76</v>
      </c>
      <c r="F25" s="206">
        <v>1</v>
      </c>
      <c r="G25" s="206" t="s">
        <v>158</v>
      </c>
      <c r="H25" s="480" t="s">
        <v>156</v>
      </c>
      <c r="I25" s="480">
        <v>4.6500000000000004</v>
      </c>
      <c r="J25" s="480" t="s">
        <v>121</v>
      </c>
      <c r="K25" s="481">
        <f>M16/10000*1000*L16</f>
        <v>5832</v>
      </c>
      <c r="L25" s="208">
        <f>ROUNDUP((K25/I25)*1.05,0)</f>
        <v>1317</v>
      </c>
      <c r="M25" s="342" t="str">
        <f>G25</f>
        <v>Unidad x 1,22 Kg</v>
      </c>
      <c r="N25" s="355"/>
    </row>
    <row r="26" spans="2:16" ht="17" customHeight="1" x14ac:dyDescent="0.25">
      <c r="B26" s="354"/>
      <c r="C26" s="483"/>
      <c r="D26" s="351">
        <v>4017</v>
      </c>
      <c r="E26" s="128" t="s">
        <v>159</v>
      </c>
      <c r="F26" s="206">
        <v>2</v>
      </c>
      <c r="G26" s="206" t="s">
        <v>123</v>
      </c>
      <c r="H26" s="480"/>
      <c r="I26" s="480"/>
      <c r="J26" s="480"/>
      <c r="K26" s="481"/>
      <c r="L26" s="208">
        <f>+L25*F27</f>
        <v>1317</v>
      </c>
      <c r="M26" s="342" t="str">
        <f>G26</f>
        <v>Bolsa x 8,78 Kg</v>
      </c>
      <c r="N26" s="355"/>
    </row>
    <row r="27" spans="2:16" ht="18" customHeight="1" x14ac:dyDescent="0.25">
      <c r="B27" s="354"/>
      <c r="C27" s="483"/>
      <c r="D27" s="351">
        <f>VLOOKUP(E27,DATA!B15:F22,2,0)</f>
        <v>6513</v>
      </c>
      <c r="E27" s="265" t="s">
        <v>204</v>
      </c>
      <c r="F27" s="206">
        <v>1</v>
      </c>
      <c r="G27" s="206" t="s">
        <v>214</v>
      </c>
      <c r="H27" s="480"/>
      <c r="I27" s="480"/>
      <c r="J27" s="480"/>
      <c r="K27" s="481"/>
      <c r="L27" s="208">
        <f>L25*F27</f>
        <v>1317</v>
      </c>
      <c r="M27" s="342" t="str">
        <f>G27</f>
        <v>Unidades x 0,45 Kg</v>
      </c>
      <c r="N27" s="355"/>
    </row>
    <row r="28" spans="2:16" ht="19.5" customHeight="1" thickBot="1" x14ac:dyDescent="0.3">
      <c r="B28" s="354"/>
      <c r="C28" s="483"/>
      <c r="D28" s="490"/>
      <c r="E28" s="491"/>
      <c r="F28" s="491"/>
      <c r="G28" s="491"/>
      <c r="H28" s="491"/>
      <c r="I28" s="491"/>
      <c r="J28" s="491"/>
      <c r="K28" s="491"/>
      <c r="L28" s="491"/>
      <c r="M28" s="492"/>
      <c r="N28" s="355"/>
      <c r="P28" s="222"/>
    </row>
    <row r="29" spans="2:16" ht="22" customHeight="1" x14ac:dyDescent="0.25">
      <c r="B29" s="354"/>
      <c r="C29" s="483"/>
      <c r="D29" s="496" t="s">
        <v>124</v>
      </c>
      <c r="E29" s="497"/>
      <c r="F29" s="497"/>
      <c r="G29" s="497"/>
      <c r="H29" s="497"/>
      <c r="I29" s="497"/>
      <c r="J29" s="497"/>
      <c r="K29" s="497"/>
      <c r="L29" s="497"/>
      <c r="M29" s="498"/>
      <c r="N29" s="355"/>
    </row>
    <row r="30" spans="2:16" ht="31.5" customHeight="1" x14ac:dyDescent="0.25">
      <c r="B30" s="354"/>
      <c r="C30" s="483"/>
      <c r="D30" s="291">
        <f>VLOOKUP(E30,DATA!B57:H63,2,0)</f>
        <v>7899</v>
      </c>
      <c r="E30" s="269" t="s">
        <v>40</v>
      </c>
      <c r="F30" s="288">
        <v>1</v>
      </c>
      <c r="G30" s="288" t="str">
        <f>VLOOKUP(E30,DATA!B57:H63,4,0)</f>
        <v>Kit x  23,8 Lb</v>
      </c>
      <c r="H30" s="499" t="s">
        <v>162</v>
      </c>
      <c r="I30" s="441">
        <f>VLOOKUP(E30,DATA!B57:H63,5,0)</f>
        <v>21.4</v>
      </c>
      <c r="J30" s="441" t="s">
        <v>128</v>
      </c>
      <c r="K30" s="478">
        <f>(J16+K16)/100*L16</f>
        <v>2916</v>
      </c>
      <c r="L30" s="352">
        <f>ROUNDUP(((K30/I30))*1.05,0)</f>
        <v>144</v>
      </c>
      <c r="M30" s="343" t="str">
        <f>G30</f>
        <v>Kit x  23,8 Lb</v>
      </c>
      <c r="N30" s="355"/>
    </row>
    <row r="31" spans="2:16" ht="20" customHeight="1" thickBot="1" x14ac:dyDescent="0.3">
      <c r="B31" s="354"/>
      <c r="C31" s="484"/>
      <c r="D31" s="348">
        <f>D27</f>
        <v>6513</v>
      </c>
      <c r="E31" s="335" t="str">
        <f>E27</f>
        <v>MONOPUR PIGM GRIS P/D *0.45kg</v>
      </c>
      <c r="F31" s="336">
        <f>F27</f>
        <v>1</v>
      </c>
      <c r="G31" s="349" t="s">
        <v>214</v>
      </c>
      <c r="H31" s="500"/>
      <c r="I31" s="442"/>
      <c r="J31" s="442"/>
      <c r="K31" s="501"/>
      <c r="L31" s="353">
        <f>L30*F31</f>
        <v>144</v>
      </c>
      <c r="M31" s="350" t="str">
        <f>G31</f>
        <v>Unidades x 0,45 Kg</v>
      </c>
      <c r="N31" s="355"/>
    </row>
    <row r="32" spans="2:16" ht="17.149999999999999" customHeight="1" x14ac:dyDescent="0.25">
      <c r="B32" s="107"/>
      <c r="C32" s="127"/>
      <c r="D32" s="119"/>
      <c r="E32" s="127"/>
      <c r="F32" s="127"/>
      <c r="G32" s="119"/>
      <c r="H32" s="127"/>
      <c r="I32" s="127"/>
      <c r="J32" s="119"/>
      <c r="K32" s="119"/>
      <c r="L32" s="127"/>
      <c r="M32" s="255"/>
      <c r="N32" s="251"/>
    </row>
    <row r="33" spans="2:15" ht="17.149999999999999" customHeight="1" x14ac:dyDescent="0.25">
      <c r="B33" s="107"/>
      <c r="C33" s="127"/>
      <c r="D33" s="119"/>
      <c r="E33" s="127"/>
      <c r="F33" s="127"/>
      <c r="G33" s="119"/>
      <c r="H33" s="127"/>
      <c r="I33" s="127"/>
      <c r="J33" s="119"/>
      <c r="K33" s="119"/>
      <c r="L33" s="127"/>
      <c r="M33" s="127"/>
      <c r="N33" s="162"/>
      <c r="O33" s="135"/>
    </row>
    <row r="34" spans="2:15" ht="17.149999999999999" customHeight="1" x14ac:dyDescent="0.25">
      <c r="B34" s="107"/>
      <c r="C34" s="127"/>
      <c r="D34" s="119"/>
      <c r="E34" s="127"/>
      <c r="F34" s="127"/>
      <c r="G34" s="119"/>
      <c r="H34" s="127"/>
      <c r="I34" s="127"/>
      <c r="J34" s="119"/>
      <c r="K34" s="119"/>
      <c r="L34" s="127"/>
      <c r="M34" s="127"/>
      <c r="N34" s="162"/>
      <c r="O34" s="136"/>
    </row>
    <row r="35" spans="2:15" ht="18" customHeight="1" x14ac:dyDescent="0.25">
      <c r="B35" s="486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62"/>
    </row>
    <row r="36" spans="2:15" ht="18" customHeight="1" x14ac:dyDescent="0.25">
      <c r="B36" s="48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62"/>
    </row>
    <row r="37" spans="2:15" ht="18" customHeight="1" x14ac:dyDescent="0.25">
      <c r="B37" s="165" t="s">
        <v>125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258"/>
    </row>
    <row r="38" spans="2:15" x14ac:dyDescent="0.25">
      <c r="B38" s="439" t="s">
        <v>22</v>
      </c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5"/>
    </row>
    <row r="39" spans="2:15" ht="18" customHeight="1" x14ac:dyDescent="0.25">
      <c r="B39" s="439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5"/>
    </row>
    <row r="40" spans="2:15" ht="18" customHeight="1" x14ac:dyDescent="0.25">
      <c r="B40" s="437" t="s">
        <v>126</v>
      </c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85"/>
    </row>
    <row r="41" spans="2:15" ht="18" customHeight="1" x14ac:dyDescent="0.25">
      <c r="B41" s="439" t="s">
        <v>23</v>
      </c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5"/>
    </row>
    <row r="42" spans="2:15" ht="18" customHeight="1" x14ac:dyDescent="0.25">
      <c r="B42" s="139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67"/>
    </row>
    <row r="43" spans="2:15" ht="20.5" customHeight="1" x14ac:dyDescent="0.35">
      <c r="B43" s="23" t="s">
        <v>216</v>
      </c>
      <c r="C43" s="166"/>
      <c r="D43" s="127"/>
      <c r="E43" s="117"/>
      <c r="F43" s="122"/>
      <c r="G43" s="122"/>
      <c r="H43" s="89" t="s">
        <v>63</v>
      </c>
      <c r="I43" s="122"/>
      <c r="J43" s="122"/>
      <c r="K43" s="122"/>
      <c r="L43" s="122"/>
      <c r="M43" s="122"/>
      <c r="N43" s="259"/>
    </row>
    <row r="44" spans="2:15" ht="14.5" x14ac:dyDescent="0.35">
      <c r="B44" s="25" t="s">
        <v>165</v>
      </c>
      <c r="C44" s="140"/>
      <c r="D44" s="140"/>
      <c r="E44" s="140"/>
      <c r="F44" s="140"/>
      <c r="G44" s="140"/>
      <c r="H44" s="90" t="s">
        <v>82</v>
      </c>
      <c r="I44" s="140"/>
      <c r="J44" s="140"/>
      <c r="K44" s="140"/>
      <c r="L44" s="140"/>
      <c r="M44" s="140"/>
      <c r="N44" s="167"/>
    </row>
    <row r="45" spans="2:15" ht="13.5" customHeight="1" x14ac:dyDescent="0.3">
      <c r="B45" s="23" t="s">
        <v>80</v>
      </c>
      <c r="C45" s="140"/>
      <c r="D45" s="140"/>
      <c r="E45" s="140"/>
      <c r="F45" s="140"/>
      <c r="G45" s="140"/>
      <c r="H45" s="89" t="s">
        <v>83</v>
      </c>
      <c r="I45" s="140"/>
      <c r="J45" s="140"/>
      <c r="K45" s="140"/>
      <c r="L45" s="140"/>
      <c r="M45" s="140"/>
      <c r="N45" s="167"/>
    </row>
    <row r="46" spans="2:15" ht="14.5" x14ac:dyDescent="0.35">
      <c r="B46" s="25" t="s">
        <v>78</v>
      </c>
      <c r="C46" s="140"/>
      <c r="D46" s="140"/>
      <c r="E46" s="140"/>
      <c r="F46" s="140"/>
      <c r="G46" s="140"/>
      <c r="H46" s="90" t="s">
        <v>84</v>
      </c>
      <c r="I46" s="140"/>
      <c r="J46" s="140"/>
      <c r="K46" s="140"/>
      <c r="L46" s="140"/>
      <c r="M46" s="140"/>
      <c r="N46" s="167"/>
    </row>
    <row r="47" spans="2:15" ht="14" x14ac:dyDescent="0.3">
      <c r="B47" s="23" t="s">
        <v>81</v>
      </c>
      <c r="C47" s="140"/>
      <c r="D47" s="140"/>
      <c r="E47" s="140"/>
      <c r="F47" s="140"/>
      <c r="G47" s="140"/>
      <c r="H47" s="91" t="s">
        <v>64</v>
      </c>
      <c r="I47" s="140"/>
      <c r="J47" s="140"/>
      <c r="K47" s="140"/>
      <c r="L47" s="140"/>
      <c r="M47" s="140"/>
      <c r="N47" s="167"/>
    </row>
    <row r="48" spans="2:15" ht="14.5" x14ac:dyDescent="0.35">
      <c r="B48" s="25" t="s">
        <v>79</v>
      </c>
      <c r="C48" s="140"/>
      <c r="D48" s="140"/>
      <c r="E48" s="140"/>
      <c r="F48" s="140"/>
      <c r="G48" s="140"/>
      <c r="H48" s="92" t="s">
        <v>85</v>
      </c>
      <c r="I48" s="140"/>
      <c r="J48" s="140"/>
      <c r="K48" s="140"/>
      <c r="L48" s="140"/>
      <c r="M48" s="140"/>
      <c r="N48" s="167"/>
    </row>
    <row r="49" spans="2:16" ht="14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67"/>
    </row>
    <row r="50" spans="2:16" ht="14" x14ac:dyDescent="0.25">
      <c r="B50" s="139"/>
      <c r="C50" s="55" t="s">
        <v>231</v>
      </c>
      <c r="D50" s="119"/>
      <c r="E50" s="119"/>
      <c r="F50" s="119"/>
      <c r="G50" s="119"/>
      <c r="H50" s="163"/>
      <c r="I50" s="140"/>
      <c r="J50" s="140"/>
      <c r="K50" s="140"/>
      <c r="L50" s="140"/>
      <c r="M50" s="140"/>
      <c r="N50" s="167"/>
    </row>
    <row r="51" spans="2:16" ht="14" x14ac:dyDescent="0.3">
      <c r="B51" s="118"/>
      <c r="C51" s="225"/>
      <c r="D51" s="28"/>
      <c r="E51" s="28"/>
      <c r="F51" s="28"/>
      <c r="G51" s="28"/>
      <c r="H51" s="28"/>
      <c r="I51" s="140"/>
      <c r="J51" s="140"/>
      <c r="K51" s="140"/>
      <c r="L51" s="140"/>
      <c r="M51" s="140"/>
      <c r="N51" s="167"/>
    </row>
    <row r="52" spans="2:16" ht="14" x14ac:dyDescent="0.3">
      <c r="B52" s="118"/>
      <c r="C52" s="225"/>
      <c r="D52" s="346"/>
      <c r="E52" s="346"/>
      <c r="F52" s="346"/>
      <c r="G52" s="346"/>
      <c r="H52" s="346"/>
      <c r="I52" s="140"/>
      <c r="J52" s="140"/>
      <c r="K52" s="140"/>
      <c r="L52" s="140"/>
      <c r="M52" s="140"/>
      <c r="N52" s="167"/>
    </row>
    <row r="53" spans="2:16" ht="14" x14ac:dyDescent="0.3">
      <c r="B53" s="118"/>
      <c r="C53" s="225"/>
      <c r="D53" s="346"/>
      <c r="E53" s="346"/>
      <c r="F53" s="346"/>
      <c r="G53" s="346"/>
      <c r="H53" s="346"/>
      <c r="I53" s="140"/>
      <c r="J53" s="140"/>
      <c r="K53" s="140"/>
      <c r="L53" s="140"/>
      <c r="M53" s="140"/>
      <c r="N53" s="167"/>
    </row>
    <row r="54" spans="2:16" ht="14.5" x14ac:dyDescent="0.35">
      <c r="B54" s="118"/>
      <c r="C54" s="225"/>
      <c r="D54" s="347"/>
      <c r="E54" s="346"/>
      <c r="F54" s="346"/>
      <c r="G54" s="346"/>
      <c r="H54" s="346"/>
      <c r="I54" s="119"/>
      <c r="J54" s="127"/>
      <c r="K54" s="119"/>
      <c r="L54" s="127"/>
      <c r="M54" s="127"/>
      <c r="N54" s="162"/>
    </row>
    <row r="55" spans="2:16" x14ac:dyDescent="0.25">
      <c r="B55" s="118"/>
      <c r="C55" s="163"/>
      <c r="D55" s="127"/>
      <c r="E55" s="119"/>
      <c r="F55" s="127"/>
      <c r="G55" s="127"/>
      <c r="H55" s="119"/>
      <c r="I55" s="127"/>
      <c r="J55" s="127"/>
      <c r="K55" s="127"/>
      <c r="L55" s="127"/>
      <c r="M55" s="127"/>
      <c r="N55" s="162"/>
    </row>
    <row r="56" spans="2:16" x14ac:dyDescent="0.25">
      <c r="B56" s="107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262"/>
    </row>
    <row r="57" spans="2:16" x14ac:dyDescent="0.25">
      <c r="B57" s="107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262"/>
    </row>
    <row r="58" spans="2:16" x14ac:dyDescent="0.25">
      <c r="B58" s="107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262"/>
    </row>
    <row r="59" spans="2:16" x14ac:dyDescent="0.25">
      <c r="B59" s="107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262"/>
    </row>
    <row r="60" spans="2:16" x14ac:dyDescent="0.25">
      <c r="B60" s="107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262"/>
      <c r="O60" s="163"/>
      <c r="P60" s="163"/>
    </row>
    <row r="61" spans="2:16" x14ac:dyDescent="0.25">
      <c r="B61" s="107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262"/>
      <c r="O61" s="163"/>
      <c r="P61" s="163"/>
    </row>
    <row r="62" spans="2:16" x14ac:dyDescent="0.25">
      <c r="B62" s="107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262"/>
      <c r="O62" s="119"/>
      <c r="P62" s="163"/>
    </row>
    <row r="63" spans="2:16" x14ac:dyDescent="0.25">
      <c r="B63" s="107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262"/>
      <c r="O63" s="119"/>
      <c r="P63" s="163"/>
    </row>
    <row r="64" spans="2:16" x14ac:dyDescent="0.25">
      <c r="B64" s="107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262"/>
      <c r="O64" s="163"/>
      <c r="P64" s="163"/>
    </row>
    <row r="65" spans="2:16" ht="14" thickBot="1" x14ac:dyDescent="0.3">
      <c r="B65" s="263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264"/>
      <c r="O65" s="163"/>
      <c r="P65" s="163"/>
    </row>
    <row r="66" spans="2:16" x14ac:dyDescent="0.25">
      <c r="O66" s="163"/>
      <c r="P66" s="163"/>
    </row>
    <row r="67" spans="2:16" x14ac:dyDescent="0.25">
      <c r="O67" s="163"/>
      <c r="P67" s="163"/>
    </row>
  </sheetData>
  <sheetProtection algorithmName="SHA-512" hashValue="w/sepk1yln7GUp0JpwSjE7j9kmNR2TexTe0lVxdfTetBbzKzN7JwVVvHHftTTdw4oyhnFf8RCmb1JBssswCfPA==" saltValue="qp6fp/K+iOjRXwCO9ML92w==" spinCount="100000" sheet="1" objects="1" scenarios="1"/>
  <protectedRanges>
    <protectedRange sqref="H48:M48" name="Detalles Constructivos"/>
    <protectedRange sqref="H46:M46" name="Guia para la instalacion"/>
    <protectedRange sqref="H44:M44" name="Tabla Resistencias"/>
    <protectedRange sqref="B48:E48" name="Hoja Tecnica 3"/>
    <protectedRange sqref="B46:F46" name="Hoja Tecnica 2"/>
    <protectedRange sqref="B44:F44" name="Hoja Tecnica 1"/>
    <protectedRange sqref="E30" name="Seleccion Sello"/>
    <protectedRange sqref="E27" name="Seleccion Pigmento Mortero"/>
    <protectedRange sqref="I16:L16" name="Especificacion iniciales"/>
  </protectedRanges>
  <mergeCells count="24">
    <mergeCell ref="B38:N39"/>
    <mergeCell ref="B40:N40"/>
    <mergeCell ref="B41:N41"/>
    <mergeCell ref="B35:B36"/>
    <mergeCell ref="C20:C31"/>
    <mergeCell ref="K21:K22"/>
    <mergeCell ref="H25:H27"/>
    <mergeCell ref="I25:I27"/>
    <mergeCell ref="J25:J27"/>
    <mergeCell ref="K25:K27"/>
    <mergeCell ref="D24:M24"/>
    <mergeCell ref="D20:M20"/>
    <mergeCell ref="D28:M28"/>
    <mergeCell ref="D23:M23"/>
    <mergeCell ref="D29:M29"/>
    <mergeCell ref="H30:H31"/>
    <mergeCell ref="I30:I31"/>
    <mergeCell ref="J30:J31"/>
    <mergeCell ref="K30:K31"/>
    <mergeCell ref="B2:D2"/>
    <mergeCell ref="E2:N2"/>
    <mergeCell ref="F19:G19"/>
    <mergeCell ref="H19:J19"/>
    <mergeCell ref="L19:M19"/>
  </mergeCells>
  <hyperlinks>
    <hyperlink ref="B48" r:id="rId1" xr:uid="{00000000-0004-0000-0900-000000000000}"/>
    <hyperlink ref="H44" r:id="rId2" xr:uid="{00000000-0004-0000-0900-000001000000}"/>
    <hyperlink ref="H48" r:id="rId3" xr:uid="{00000000-0004-0000-0900-000002000000}"/>
    <hyperlink ref="B44" r:id="rId4" xr:uid="{00000000-0004-0000-0900-000003000000}"/>
  </hyperlinks>
  <pageMargins left="0.70866141732283472" right="0.70866141732283472" top="0.74803149606299213" bottom="0.74803149606299213" header="0.31496062992125984" footer="0.31496062992125984"/>
  <pageSetup scale="43" orientation="portrait" horizontalDpi="300" verticalDpi="300" r:id="rId5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DATA!$B$15:$B$22</xm:f>
          </x14:formula1>
          <xm:sqref>E31 E27</xm:sqref>
        </x14:dataValidation>
        <x14:dataValidation type="list" allowBlank="1" showInputMessage="1" showErrorMessage="1" xr:uid="{00000000-0002-0000-0900-000001000000}">
          <x14:formula1>
            <xm:f>DATA!$B$57:$B$63</xm:f>
          </x14:formula1>
          <xm:sqref>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DATA</vt:lpstr>
      <vt:lpstr>Monopur Trafico Pesado</vt:lpstr>
      <vt:lpstr>Monopur Trafico Liviano</vt:lpstr>
      <vt:lpstr>Cove System Completa</vt:lpstr>
      <vt:lpstr>Cove System Recubrimiento</vt:lpstr>
      <vt:lpstr>Cove System Bordillo</vt:lpstr>
      <vt:lpstr>'Cove System Bordillo'!Área_de_impresión</vt:lpstr>
      <vt:lpstr>'Cove System Completa'!Área_de_impresión</vt:lpstr>
      <vt:lpstr>'Cove System Recubrimiento'!Área_de_impresión</vt:lpstr>
      <vt:lpstr>'Monopur Trafico Liviano'!Área_de_impresión</vt:lpstr>
      <vt:lpstr>'Monopur Trafico Pesado'!Área_de_impresión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Porras, Lizeth</cp:lastModifiedBy>
  <cp:lastPrinted>2021-07-24T18:51:52Z</cp:lastPrinted>
  <dcterms:created xsi:type="dcterms:W3CDTF">2012-12-14T12:51:59Z</dcterms:created>
  <dcterms:modified xsi:type="dcterms:W3CDTF">2021-09-01T13:28:34Z</dcterms:modified>
</cp:coreProperties>
</file>