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tremcoinc-my.sharepoint.com/personal/lizethporras_euclidchemical_com_co/Documents/Desktop/"/>
    </mc:Choice>
  </mc:AlternateContent>
  <xr:revisionPtr revIDLastSave="64" documentId="11_199C368478ECECD153FFED3B58B26D1BDDD4E9ED" xr6:coauthVersionLast="47" xr6:coauthVersionMax="47" xr10:uidLastSave="{E4742ED5-7D35-4FB3-8489-BB07440EA11C}"/>
  <bookViews>
    <workbookView xWindow="-110" yWindow="-110" windowWidth="19420" windowHeight="10420" tabRatio="791" firstSheet="3" activeTab="6" xr2:uid="{00000000-000D-0000-FFFF-FFFF00000000}"/>
  </bookViews>
  <sheets>
    <sheet name="CODIGOS" sheetId="30" state="hidden" r:id="rId1"/>
    <sheet name="DATA" sheetId="24" state="hidden" r:id="rId2"/>
    <sheet name="Flowfresh Trafico Pesado" sheetId="18" r:id="rId3"/>
    <sheet name="Flowfresh Trafico Mediano" sheetId="31" r:id="rId4"/>
    <sheet name="Flowfresh Cove Completa" sheetId="32" r:id="rId5"/>
    <sheet name="Cove System Recubrimiento" sheetId="33" r:id="rId6"/>
    <sheet name="Cove System Bordillo" sheetId="34" r:id="rId7"/>
  </sheets>
  <externalReferences>
    <externalReference r:id="rId8"/>
  </externalReferences>
  <definedNames>
    <definedName name="_xlnm.Print_Area" localSheetId="6">'Cove System Bordillo'!$B$1:$N$55</definedName>
    <definedName name="_xlnm.Print_Area" localSheetId="5">'Cove System Recubrimiento'!$B$1:$N$52</definedName>
    <definedName name="_xlnm.Print_Area" localSheetId="4">'Flowfresh Cove Completa'!$B$1:$O$54</definedName>
    <definedName name="_xlnm.Print_Area" localSheetId="3">'Flowfresh Trafico Mediano'!$B$1:$M$68</definedName>
    <definedName name="_xlnm.Print_Area" localSheetId="2">'Flowfresh Trafico Pesado'!$B$1:$M$66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6" i="18" l="1"/>
  <c r="M82" i="24" l="1"/>
  <c r="M81" i="24"/>
  <c r="N67" i="24"/>
  <c r="N66" i="24"/>
  <c r="N64" i="24"/>
  <c r="N65" i="24"/>
  <c r="D62" i="24"/>
  <c r="E45" i="24"/>
  <c r="D88" i="24" l="1"/>
  <c r="D87" i="24" s="1"/>
  <c r="E43" i="24"/>
  <c r="N68" i="24"/>
  <c r="E26" i="24" l="1"/>
  <c r="E27" i="24"/>
  <c r="E25" i="24"/>
  <c r="E10" i="24"/>
  <c r="D32" i="18" l="1"/>
  <c r="D34" i="18"/>
  <c r="F34" i="18"/>
  <c r="C33" i="18"/>
  <c r="G29" i="33" l="1"/>
  <c r="M29" i="33" s="1"/>
  <c r="K20" i="33"/>
  <c r="L21" i="33" s="1"/>
  <c r="H31" i="31"/>
  <c r="K31" i="31" s="1"/>
  <c r="I26" i="34" l="1"/>
  <c r="D26" i="34"/>
  <c r="F27" i="34"/>
  <c r="D23" i="34"/>
  <c r="I29" i="33"/>
  <c r="F30" i="33"/>
  <c r="D29" i="33"/>
  <c r="D26" i="33"/>
  <c r="G33" i="32"/>
  <c r="J32" i="32"/>
  <c r="E32" i="32"/>
  <c r="E29" i="32"/>
  <c r="E33" i="32" s="1"/>
  <c r="N23" i="32"/>
  <c r="M27" i="34" l="1"/>
  <c r="E27" i="34"/>
  <c r="K26" i="34"/>
  <c r="M23" i="34"/>
  <c r="D27" i="34"/>
  <c r="M17" i="34"/>
  <c r="K17" i="34"/>
  <c r="M12" i="34"/>
  <c r="K21" i="34" s="1"/>
  <c r="L21" i="34" s="1"/>
  <c r="E30" i="33"/>
  <c r="K29" i="33"/>
  <c r="M26" i="33"/>
  <c r="D30" i="33"/>
  <c r="M20" i="33"/>
  <c r="M14" i="33"/>
  <c r="K24" i="33" s="1"/>
  <c r="L24" i="33" s="1"/>
  <c r="F33" i="32"/>
  <c r="L23" i="32"/>
  <c r="N18" i="32"/>
  <c r="L32" i="32" s="1"/>
  <c r="M32" i="32" s="1"/>
  <c r="M18" i="32"/>
  <c r="L27" i="32" s="1"/>
  <c r="M27" i="32" s="1"/>
  <c r="F37" i="31"/>
  <c r="D37" i="31"/>
  <c r="D35" i="31"/>
  <c r="F43" i="24"/>
  <c r="H32" i="32" l="1"/>
  <c r="N32" i="32" s="1"/>
  <c r="G26" i="34"/>
  <c r="M26" i="34" s="1"/>
  <c r="L18" i="34"/>
  <c r="L17" i="34"/>
  <c r="L20" i="33"/>
  <c r="M23" i="32"/>
  <c r="M28" i="32"/>
  <c r="M29" i="32"/>
  <c r="L25" i="33"/>
  <c r="L26" i="33"/>
  <c r="L22" i="34"/>
  <c r="L23" i="34"/>
  <c r="L26" i="34"/>
  <c r="M24" i="32"/>
  <c r="M33" i="32"/>
  <c r="L29" i="33"/>
  <c r="L30" i="33" s="1"/>
  <c r="GHR25" i="32" l="1"/>
  <c r="L27" i="34"/>
  <c r="GHR30" i="32" l="1"/>
  <c r="GHR34" i="32" l="1"/>
  <c r="V75" i="24" l="1"/>
  <c r="U75" i="24"/>
  <c r="C39" i="31"/>
  <c r="C39" i="18"/>
  <c r="F39" i="18"/>
  <c r="C40" i="18"/>
  <c r="H39" i="18"/>
  <c r="V81" i="24" l="1"/>
  <c r="U81" i="24"/>
  <c r="U84" i="24"/>
  <c r="U83" i="24"/>
  <c r="U82" i="24"/>
  <c r="C36" i="31"/>
  <c r="E45" i="31"/>
  <c r="C45" i="31"/>
  <c r="L44" i="31"/>
  <c r="H44" i="31"/>
  <c r="K44" i="31" s="1"/>
  <c r="F44" i="31"/>
  <c r="C44" i="31"/>
  <c r="L41" i="31"/>
  <c r="H41" i="31"/>
  <c r="K41" i="31" s="1"/>
  <c r="F41" i="31"/>
  <c r="C41" i="31"/>
  <c r="C38" i="31"/>
  <c r="E32" i="31"/>
  <c r="L31" i="31"/>
  <c r="F31" i="31"/>
  <c r="C31" i="31"/>
  <c r="H36" i="31" l="1"/>
  <c r="K36" i="31" s="1"/>
  <c r="K32" i="31"/>
  <c r="K45" i="31"/>
  <c r="K38" i="31" l="1"/>
  <c r="H43" i="18"/>
  <c r="K43" i="18" s="1"/>
  <c r="C44" i="18"/>
  <c r="L43" i="18"/>
  <c r="E44" i="18"/>
  <c r="F43" i="18"/>
  <c r="K44" i="18" l="1"/>
  <c r="C43" i="18" l="1"/>
  <c r="L39" i="18"/>
  <c r="K39" i="18"/>
  <c r="W62" i="24" l="1"/>
  <c r="C29" i="18" l="1"/>
  <c r="C35" i="18"/>
  <c r="V62" i="24" l="1"/>
  <c r="V68" i="24" s="1"/>
  <c r="V64" i="24" l="1"/>
  <c r="W64" i="24"/>
  <c r="H33" i="18" s="1"/>
  <c r="K33" i="18" s="1"/>
  <c r="V65" i="24"/>
  <c r="V66" i="24"/>
  <c r="V67" i="24"/>
  <c r="K35" i="18" l="1"/>
  <c r="H29" i="18"/>
  <c r="K29" i="18" s="1"/>
  <c r="E30" i="18" l="1"/>
  <c r="K30" i="18" s="1"/>
  <c r="L29" i="18" l="1"/>
  <c r="F29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RINCON RUGE</author>
    <author>Lizeth Porras</author>
    <author>tc={ED4B37F4-310C-4018-AB98-62EAD2FFCA26}</author>
    <author>tc={062910F1-C4D8-4774-8487-22C3D206BC5B}</author>
    <author>tc={7D9B30B4-2429-417C-A8D2-E41762DED828}</author>
    <author>tc={E7E71B58-500D-4440-9109-5DAB9027BCC9}</author>
    <author>tc={8F193749-F550-4E14-8424-890E9DC49F54}</author>
    <author>tc={1167FDCC-3219-4034-ADEE-12EA218E00B2}</author>
    <author>tc={12DDA9A7-6290-4460-8B1B-452BAFCD9480}</author>
    <author>tc={3907B345-D7D6-4587-B84C-022E27A0C43D}</author>
  </authors>
  <commentList>
    <comment ref="G1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GUSTAVO RINCON RUGE:</t>
        </r>
        <r>
          <rPr>
            <sz val="9"/>
            <color indexed="81"/>
            <rFont val="Tahoma"/>
            <family val="2"/>
          </rPr>
          <t xml:space="preserve">
200ft2/gal</t>
        </r>
      </text>
    </comment>
    <comment ref="F15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Lizeth Porras:</t>
        </r>
        <r>
          <rPr>
            <sz val="9"/>
            <color indexed="81"/>
            <rFont val="Tahoma"/>
            <family val="2"/>
          </rPr>
          <t xml:space="preserve">
Menos 2 Lb del Pigmento</t>
        </r>
      </text>
    </comment>
    <comment ref="G2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GUSTAVO RINCON RUGE:</t>
        </r>
        <r>
          <rPr>
            <sz val="9"/>
            <color indexed="81"/>
            <rFont val="Tahoma"/>
            <family val="2"/>
          </rPr>
          <t xml:space="preserve">
1,5 kg/m2</t>
        </r>
      </text>
    </comment>
    <comment ref="G28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GUSTAVO RINCON RUGE:</t>
        </r>
        <r>
          <rPr>
            <sz val="9"/>
            <color indexed="81"/>
            <rFont val="Tahoma"/>
            <family val="2"/>
          </rPr>
          <t xml:space="preserve">
5,0 kg/m2
</t>
        </r>
      </text>
    </comment>
    <comment ref="F52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GUSTAVO RINCON RUGE:</t>
        </r>
        <r>
          <rPr>
            <sz val="9"/>
            <color indexed="81"/>
            <rFont val="Tahoma"/>
            <family val="2"/>
          </rPr>
          <t xml:space="preserve">
2,5kg/m2</t>
        </r>
      </text>
    </comment>
    <comment ref="V62" authorId="2" shapeId="0" xr:uid="{00000000-0006-0000-0400-000006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MOVER FORMULA</t>
      </text>
    </comment>
    <comment ref="W62" authorId="3" shapeId="0" xr:uid="{00000000-0006-0000-0400-000007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MOVER FORMULA</t>
      </text>
    </comment>
    <comment ref="V64" authorId="4" shapeId="0" xr:uid="{00000000-0006-0000-0400-000008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MOVER FORMULA</t>
      </text>
    </comment>
    <comment ref="W64" authorId="5" shapeId="0" xr:uid="{00000000-0006-0000-0400-000009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MOVER FORMULA</t>
      </text>
    </comment>
    <comment ref="V65" authorId="6" shapeId="0" xr:uid="{00000000-0006-0000-0400-00000A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MOVER FORMULA</t>
      </text>
    </comment>
    <comment ref="V66" authorId="7" shapeId="0" xr:uid="{00000000-0006-0000-0400-00000B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MOVER FORMULA</t>
      </text>
    </comment>
    <comment ref="U75" authorId="8" shapeId="0" xr:uid="{00000000-0006-0000-0400-00000C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MOVER FORMULA</t>
      </text>
    </comment>
    <comment ref="V75" authorId="9" shapeId="0" xr:uid="{00000000-0006-0000-0400-00000D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MOVER FORMULA</t>
      </text>
    </comment>
  </commentList>
</comments>
</file>

<file path=xl/sharedStrings.xml><?xml version="1.0" encoding="utf-8"?>
<sst xmlns="http://schemas.openxmlformats.org/spreadsheetml/2006/main" count="633" uniqueCount="320">
  <si>
    <t>DESCRIPCIÓN</t>
  </si>
  <si>
    <t>RENDIMIENTO</t>
  </si>
  <si>
    <t>1 Kit cubre</t>
  </si>
  <si>
    <t>CONFORMACIÓN DEL KIT</t>
  </si>
  <si>
    <t>UNIDADES REQUERIDAS (Incluye 5% de desperdicios)</t>
  </si>
  <si>
    <t>Flowfresh HF Filler</t>
  </si>
  <si>
    <t>PRECIO</t>
  </si>
  <si>
    <t xml:space="preserve">
</t>
  </si>
  <si>
    <r>
      <t>ÁREA (m</t>
    </r>
    <r>
      <rPr>
        <b/>
        <vertAlign val="superscript"/>
        <sz val="10"/>
        <color theme="1"/>
        <rFont val="Century Gothic"/>
        <family val="2"/>
      </rPr>
      <t>2</t>
    </r>
    <r>
      <rPr>
        <b/>
        <sz val="10"/>
        <color theme="1"/>
        <rFont val="Century Gothic"/>
        <family val="2"/>
      </rPr>
      <t>)</t>
    </r>
  </si>
  <si>
    <r>
      <t>m</t>
    </r>
    <r>
      <rPr>
        <vertAlign val="superscript"/>
        <sz val="10"/>
        <color theme="1"/>
        <rFont val="Century Gothic"/>
        <family val="2"/>
      </rPr>
      <t>2</t>
    </r>
  </si>
  <si>
    <t>NOTA: Ingrese los datos en las casillas de este color y seleccione el pigmento deseado</t>
  </si>
  <si>
    <t>CODIGO</t>
  </si>
  <si>
    <t>PRESENTACION</t>
  </si>
  <si>
    <t>FLOWPRIME</t>
  </si>
  <si>
    <t>COD</t>
  </si>
  <si>
    <t>REND</t>
  </si>
  <si>
    <t>EUCOFILLER MEDIO</t>
  </si>
  <si>
    <t>Bolsa x 30 Kg</t>
  </si>
  <si>
    <t>EUCOFILLER GRUESO</t>
  </si>
  <si>
    <t>Unidad x 3 Gal</t>
  </si>
  <si>
    <t>IMPRIMACION (Opcional)</t>
  </si>
  <si>
    <t>1 Und cubre</t>
  </si>
  <si>
    <t>Eucofiller Medio</t>
  </si>
  <si>
    <t>Bolsa x 30 kg</t>
  </si>
  <si>
    <t>1 Bolsa Cubre</t>
  </si>
  <si>
    <t>RENDIMIENTOS</t>
  </si>
  <si>
    <t xml:space="preserve">http://www.toxement.com.co/media/3135/flowfresh-hf.pdf </t>
  </si>
  <si>
    <t>FLOWFRESH FC (Primer)</t>
  </si>
  <si>
    <t>Arena</t>
  </si>
  <si>
    <t>* Los rendimientos aquí consignados son consumos teóricos y aproximados de acuerdo a la experiencia, sin embargo estos pueden presentar variaciones de acuerdo a la porosidad de la superficie y/o otras condiciones de la aplicación</t>
  </si>
  <si>
    <t>* El presente simulador de calculo de cantidades de producto es una guía aproximada y no sustituye el criterio técnico en las aplicaciones o el uso de las hojas técnicas</t>
  </si>
  <si>
    <t>Flowfresh HF</t>
  </si>
  <si>
    <t>Flowfresh MF</t>
  </si>
  <si>
    <t>Flowfresh IF</t>
  </si>
  <si>
    <t>Bolsa x 50 Lb</t>
  </si>
  <si>
    <t>Flowfresh Colored Quartz Spring Glen</t>
  </si>
  <si>
    <t>Flowfresh Colored Quartz Bluebery Ice</t>
  </si>
  <si>
    <t>Flowfresh Colored Quartz Gray Mist</t>
  </si>
  <si>
    <t>Flowfresh Colored Quartz Kitched Red</t>
  </si>
  <si>
    <t>Flowfresh Colored Quartz Rococo</t>
  </si>
  <si>
    <t>Flowfresh Colored Quartz Shell</t>
  </si>
  <si>
    <t>Sello</t>
  </si>
  <si>
    <t>PIGMENTO</t>
  </si>
  <si>
    <t>Flowfresh FC (Sello Mate)</t>
  </si>
  <si>
    <t>230 Ft2/Unidad</t>
  </si>
  <si>
    <t>120  Ft2/Unidad</t>
  </si>
  <si>
    <t>Unid x 3 Gal</t>
  </si>
  <si>
    <t>80 Ft2/Gal</t>
  </si>
  <si>
    <t>Flowfresh FC UV (Sello Mate UV)
Superficie Lisa</t>
  </si>
  <si>
    <t>Flowfresh FC UV (Sello Mate UV)
Superficie Rugosa</t>
  </si>
  <si>
    <t>Flowfresh SR Sealer (Brillante)
Superficie Rugosa</t>
  </si>
  <si>
    <t>Ultra Flakes Quick Silver</t>
  </si>
  <si>
    <t>Ultra Flakes Desert Tan</t>
  </si>
  <si>
    <t>Ultra Flakes Domino</t>
  </si>
  <si>
    <t>Ultra Flakes Green Bay</t>
  </si>
  <si>
    <t>Ultra Flakes Midnight</t>
  </si>
  <si>
    <t>Ultra Flakes Ice Blue</t>
  </si>
  <si>
    <t>Ultra Flakes Scarlet</t>
  </si>
  <si>
    <t>Ultra Flakes Cobblesto</t>
  </si>
  <si>
    <t>Codigo</t>
  </si>
  <si>
    <t>Flowfresh SL</t>
  </si>
  <si>
    <t>Flowfresh SR</t>
  </si>
  <si>
    <t>SISTEMAS FLOWFRESH</t>
  </si>
  <si>
    <t>Flowseal PA</t>
  </si>
  <si>
    <t>PIGMENTOS ok</t>
  </si>
  <si>
    <t>PRIMER ok</t>
  </si>
  <si>
    <t>Antideslizante OK</t>
  </si>
  <si>
    <t>Kit x  23,8 Lb</t>
  </si>
  <si>
    <r>
      <t xml:space="preserve">FLOWFRESH SR: </t>
    </r>
    <r>
      <rPr>
        <sz val="11"/>
        <color theme="0"/>
        <rFont val="Century Gothic"/>
        <family val="2"/>
      </rPr>
      <t>Es un sistema diseñado para áreas de trabajo pesado con acabado decorativo y textura antideslizante.
Resiste temperaturas de exposición continua de 93°C y temperatura para derrames intermitentes de 121°C.
Puede ser aplicado sobre concreto nuevo después de 7-10 días.</t>
    </r>
  </si>
  <si>
    <r>
      <t xml:space="preserve">FLOWFRESH ULTRA FLAKES: </t>
    </r>
    <r>
      <rPr>
        <sz val="11"/>
        <color theme="0"/>
        <rFont val="Century Gothic"/>
        <family val="2"/>
      </rPr>
      <t>Es un sistema hÍbrido que combina el uretano cementicio con un acabado de poliurea pura, que reúne alto desempeño y la resistencia de trabajo pesado con beneficios decorativos.
Resiste temperaturas de exposición continua de 74°C y temperatura para derrames intermitentes de 93°C.
Puede ser aplicado sobre concreto nuevo después de 7-10 días. Lleva un sello resistente a rayones, a radiación ultravioleta y rayos UV</t>
    </r>
  </si>
  <si>
    <r>
      <t>FLOWFRESH MF:</t>
    </r>
    <r>
      <rPr>
        <sz val="11"/>
        <color theme="0"/>
        <rFont val="Century Gothic"/>
        <family val="2"/>
      </rPr>
      <t xml:space="preserve"> Es un sistema autonivelante con acabado liso, diseñado para áreas de trabajo y tráfico medio, con alta resistencia química. Resiste temperaturas de exposición continua de 82°C y temperatura para derrames intermitentes de 93°C. Proporciona un acabado mate con textura lisa.  Puede ser aplicado sobre concreto nuevo después de 7-10 días.  Requiere Perfil de Rugosidad</t>
    </r>
  </si>
  <si>
    <r>
      <t xml:space="preserve">FLOWFRESH RT: </t>
    </r>
    <r>
      <rPr>
        <sz val="11"/>
        <color theme="0"/>
        <rFont val="Century Gothic"/>
        <family val="2"/>
      </rPr>
      <t>Es un sistema diseñado para áreas de trabajo pesado, con alta resistencia química. 
Resiste temperaturas de exposición continua de 105°C y temperatura para derrames intermitentes de 121°C y aplicable en cuartos fríos en temperaturas hasta de -20°C a 6,35 mm de espesor.  Proporciona un acabado mate con textura fina.  Puede ser aplicado sobre concreto nuevo después de 7-10 días.  Tiene mayor fluidez comparado con el Flowfresh HF</t>
    </r>
  </si>
  <si>
    <r>
      <rPr>
        <b/>
        <sz val="11"/>
        <color theme="0"/>
        <rFont val="Century Gothic"/>
        <family val="2"/>
      </rPr>
      <t>FLOWFRESH SL</t>
    </r>
    <r>
      <rPr>
        <sz val="11"/>
        <color theme="0"/>
        <rFont val="Century Gothic"/>
        <family val="2"/>
      </rPr>
      <t>: Es una alternativa excelente a los pisos epóxico, ofreciendo mayor durabilidad, resistencia
a los choques térmicos y a la humedad. Es un sistema diseñado para áreas de trabajo medio, con alta resistencia química.
Resiste temperaturas de exposición continua de 82°C y temperatura para derrames intermitentes de 100°C.
Puede ser aplicado sobre concreto nuevo después de 7-10 días.</t>
    </r>
  </si>
  <si>
    <t>Flowfresh RT</t>
  </si>
  <si>
    <t>Flowfresh SRQ</t>
  </si>
  <si>
    <t>Filler</t>
  </si>
  <si>
    <t>Flowfresh RT Filler</t>
  </si>
  <si>
    <t>Flowfresh IF Filler</t>
  </si>
  <si>
    <t>Flowfresh SR Filler</t>
  </si>
  <si>
    <t>Flowfresh MF Filler</t>
  </si>
  <si>
    <t>Flowfresh SL Filler</t>
  </si>
  <si>
    <t>Unidades x 10 Lb</t>
  </si>
  <si>
    <t>Unidad x 51 Lb</t>
  </si>
  <si>
    <t>Unidad x 29 Lb</t>
  </si>
  <si>
    <t>Unidad x 40 Lb</t>
  </si>
  <si>
    <t>Peso Filler</t>
  </si>
  <si>
    <t>sistema Base</t>
  </si>
  <si>
    <t>FLOWFRESH HF: Es un sistema diseñado para áreas de trabajo pesado, con alta resistencia química. 
Resiste temperaturas de exposición continua de 104°C y temperatura para derrames intermitentes de 121°C y aplicable en cuartos fríos en temperaturas hasta de -20°C a 6,35 mm de espesor.  Proporciona un acabado mate con textura fina.  Requiere perfil Rugosidad.
Puede ser aplicado sobre concreto nuevo después de 7-10 días con una resistencia mínima de 4000 psi.</t>
  </si>
  <si>
    <r>
      <rPr>
        <b/>
        <sz val="11"/>
        <color theme="0"/>
        <rFont val="Century Gothic"/>
        <family val="2"/>
      </rPr>
      <t>FLOWFRESH IF</t>
    </r>
    <r>
      <rPr>
        <sz val="11"/>
        <color theme="0"/>
        <rFont val="Century Gothic"/>
        <family val="2"/>
      </rPr>
      <t>: Es un sistema uretano cementicio con partículas de hierro, ideal para áreas de trafico excepcionalmente pesadas.
Resiste temperaturas de exposición continua de 104°C y temperatura para derrames intermitentes de 121°C.
Puede ser aplicado sobre concreto nuevo después de 7-10 días.</t>
    </r>
  </si>
  <si>
    <r>
      <rPr>
        <b/>
        <sz val="11"/>
        <color theme="0"/>
        <rFont val="Century Gothic"/>
        <family val="2"/>
      </rPr>
      <t>FLOWFRESH SRQ</t>
    </r>
    <r>
      <rPr>
        <sz val="11"/>
        <color theme="0"/>
        <rFont val="Century Gothic"/>
        <family val="2"/>
      </rPr>
      <t>: Es un sistema diseñado para áreas de trabajo pesado con acabado decorativo, textura antideslizante y alta resistencia quimica.  Resiste temperaturas de exposición continua de 93°C y temperatura para derrames intermitentes de 121°C.
Puede ser aplicado sobre concreto nuevo después de 7-10 días.</t>
    </r>
  </si>
  <si>
    <t>ACABADO ANTIDESLIZANTE (Mandatorio Sistema Flowfresh SR/SRQ)</t>
  </si>
  <si>
    <t>SELLO (Mandatorio cuando se tiene acabado Antideslizante)</t>
  </si>
  <si>
    <t xml:space="preserve"> http://www.toxement.com.co/media/3136/flowfresh-sr.pdf </t>
  </si>
  <si>
    <t xml:space="preserve"> http://www.toxement.com.co/media/4413/flowfresh-rt.pdf</t>
  </si>
  <si>
    <t>http://www.toxement.com.co/media/3138/flowfresh-srq.pdf</t>
  </si>
  <si>
    <t>TRAFICO PESADO</t>
  </si>
  <si>
    <t>TRAFICO LIVIANO</t>
  </si>
  <si>
    <t>ESPESORES</t>
  </si>
  <si>
    <t>Espesores</t>
  </si>
  <si>
    <t>6 mm</t>
  </si>
  <si>
    <t>7 mm</t>
  </si>
  <si>
    <t>8 mm</t>
  </si>
  <si>
    <t>9 mm</t>
  </si>
  <si>
    <t>12 mm</t>
  </si>
  <si>
    <t>Sistemas Trafico Pesado</t>
  </si>
  <si>
    <t>MORTERO URETANO CEMENTO ANTIMICROBIAL "FLOWFRESH IF" X 122 LB (55,28 Kg)</t>
  </si>
  <si>
    <t>MORTERO URETANO CEMENTO ANTIMICROBIAL "FLOWFRESH SR" X 92 LB (41,7 Kg)</t>
  </si>
  <si>
    <t>Rendimientos</t>
  </si>
  <si>
    <t>4 mm</t>
  </si>
  <si>
    <t>5 mm</t>
  </si>
  <si>
    <t>3 mm</t>
  </si>
  <si>
    <t>MORTERO URETANO CEMENTO ANTIMICROBIAL "FLOWFRESH MF" X 78 LB (35,4 Kg)</t>
  </si>
  <si>
    <t>Kit x 1,5 Gal  -  
Unid x 17 Lb</t>
  </si>
  <si>
    <t>1 Kit ó 
Unidad Cubre</t>
  </si>
  <si>
    <t>NOMBRE SISTEMA</t>
  </si>
  <si>
    <t>CÓDIGO SISTEMA</t>
  </si>
  <si>
    <t>COMPONENTES</t>
  </si>
  <si>
    <t>CÓDIGO</t>
  </si>
  <si>
    <t>NOMBRE</t>
  </si>
  <si>
    <t>CANTIDAD</t>
  </si>
  <si>
    <t>FLOWFRESH RESINAS KIT*20 lb</t>
  </si>
  <si>
    <t>004004</t>
  </si>
  <si>
    <t>004037</t>
  </si>
  <si>
    <t>Flowfresh Resin P/A*4.54kg(10lb)</t>
  </si>
  <si>
    <t>004049</t>
  </si>
  <si>
    <t>Flowfresh Endu P/B*4.54kg(10lb)</t>
  </si>
  <si>
    <t>FLOWFRESH RESINAS KIT*10 lb</t>
  </si>
  <si>
    <t>004005</t>
  </si>
  <si>
    <t>004038</t>
  </si>
  <si>
    <t>Flowfresh Resin P/A*2.27kg(5lb)</t>
  </si>
  <si>
    <t>004040</t>
  </si>
  <si>
    <t>Flowfresh Endu P/B*2.27kg(5lb)</t>
  </si>
  <si>
    <t>FLOWFRESH FC UV KIT*23.8lb</t>
  </si>
  <si>
    <t>007899</t>
  </si>
  <si>
    <t>007896</t>
  </si>
  <si>
    <t>Flowfresh FC UV Base P/A*7.1lb</t>
  </si>
  <si>
    <t>007897</t>
  </si>
  <si>
    <t>Flowfresh FC UV Hard P/B*9.6lb</t>
  </si>
  <si>
    <t>007898</t>
  </si>
  <si>
    <t>Flowfresh FC UV Filler*7.1lb</t>
  </si>
  <si>
    <t>007933</t>
  </si>
  <si>
    <t>004008</t>
  </si>
  <si>
    <t>Flowfresh HF Filler*55lb24.9kg</t>
  </si>
  <si>
    <t>007934</t>
  </si>
  <si>
    <t>007894</t>
  </si>
  <si>
    <t>Flowfresh RT Filler*44lb</t>
  </si>
  <si>
    <t>FLOWFRESH IF KIT*122lb(55.28kg)</t>
  </si>
  <si>
    <t>007935</t>
  </si>
  <si>
    <t>004532</t>
  </si>
  <si>
    <t>Flowfresh IF Filler*51lb</t>
  </si>
  <si>
    <t>FLOWFRESH MF KIT*78lb(35.4kg)</t>
  </si>
  <si>
    <t>007936</t>
  </si>
  <si>
    <t>004120</t>
  </si>
  <si>
    <t>Flowfresh MF Filler*29lb</t>
  </si>
  <si>
    <t>FLOWFRESH SL KIT*60lb(27.22kg)</t>
  </si>
  <si>
    <t>007937</t>
  </si>
  <si>
    <t>007895</t>
  </si>
  <si>
    <t>Flowfresh SL Filler*40lb</t>
  </si>
  <si>
    <t>FLOWFRESH SR KIT*92lb(41.7kg)</t>
  </si>
  <si>
    <t>007938</t>
  </si>
  <si>
    <t>004009</t>
  </si>
  <si>
    <t>Flowfresh SR Filler*36lb</t>
  </si>
  <si>
    <t>FLOWFRESH COVE KIT*62lb(28.1kg)
Antes Flowfresh CM</t>
  </si>
  <si>
    <t>007939</t>
  </si>
  <si>
    <t>004017</t>
  </si>
  <si>
    <t>Flowfresh Cove Fill*26lb(11.8kg)</t>
  </si>
  <si>
    <t>FLOWFRESH FC KIT*32lb(14.5kg)</t>
  </si>
  <si>
    <t>007940</t>
  </si>
  <si>
    <t>005328</t>
  </si>
  <si>
    <t>Flowfresh FC Filler* 6lb</t>
  </si>
  <si>
    <t>Sistemas Trafico MEDIO</t>
  </si>
  <si>
    <t>Tabla Resistencias Quimicas</t>
  </si>
  <si>
    <t>Brochure Linea Flowcrete antimicrobial</t>
  </si>
  <si>
    <t>http://www.toxement.com.co/media/4595/tabla-de-resistencia-qui-mica-flowcrete.pdf</t>
  </si>
  <si>
    <t xml:space="preserve">http://www.toxement.com.co/media/3760/brochure_flowcrete-compressed.pdf </t>
  </si>
  <si>
    <t>Detalles Constructivos</t>
  </si>
  <si>
    <t>http://www.toxement.com.co/media/4602/web-flowfresh-2d-plus-3d.pdf</t>
  </si>
  <si>
    <t>Hojas Tecnicas</t>
  </si>
  <si>
    <t>http://www.toxement.com.co/media/3139/flowfresh-mf.pdf</t>
  </si>
  <si>
    <t>http://www.toxement.com.co/media/3431/flowfresh-fc.pdf</t>
  </si>
  <si>
    <t>Peso Kg Kit</t>
  </si>
  <si>
    <t>MORTERO URETANO CEMENTO ANTIMICROBIAL "FLOWFRESH HF" X 130 LB (59,9 Kg)</t>
  </si>
  <si>
    <t>MORTERO URETANO CEMENTO ANTIMICROBIAL "FLOWFRESH RT" X 110 LB (50 Kg)</t>
  </si>
  <si>
    <t>MORTERO URETANO CEMENTO ANTIMICROBIAL "FLOWFRESH SL" X 60 LB (27,22 Kg)</t>
  </si>
  <si>
    <t>OBSERVACION</t>
  </si>
  <si>
    <t>Observacion</t>
  </si>
  <si>
    <t>Si desea un acabado mas rugoso para este sistema, debe diligenciar las casillas de "Acabado Antideslizante" de la siguiente seccion y proteger el riego seleccionado con un sello del acabado deseado.</t>
  </si>
  <si>
    <t>Si desea un acabado rugoso para este sistema, debe diligenciar las casillas de "Acabado Antideslizante" de la siguiente seccion y proteger el riego seleccionado con un sello del acabado deseado.</t>
  </si>
  <si>
    <t>UNIDADES REQUERIDAS 
(Incluye 5% de desperdicios)</t>
  </si>
  <si>
    <t>FLOWFRESH HF KIT*130lb(59,9kg)</t>
  </si>
  <si>
    <t>FLOWFRESH RT KIT*108lb (50kg)</t>
  </si>
  <si>
    <t xml:space="preserve">IMPRIMACION </t>
  </si>
  <si>
    <t>FLOWFRESH PIG. MIDGRAY-100</t>
  </si>
  <si>
    <t>EUCOFILLER PRIMER</t>
  </si>
  <si>
    <t>EUCOFILLER VEHICULAR</t>
  </si>
  <si>
    <t>Arena Imprimacion</t>
  </si>
  <si>
    <t xml:space="preserve">Nota: </t>
  </si>
  <si>
    <t>Eucofiller Vehicular</t>
  </si>
  <si>
    <t>Uretano Cemento ANTIMICROBIAL con tecnologia Polygiene. FLOWFRESH HF Se puede aplicar en espesores desde 6mm hasta 9mm.</t>
  </si>
  <si>
    <t>Uretano Cemento autonivelante ANTIMICROBIAL con tecnologia Polygiene. FLOWFRESH RT Se puede aplicar en espesores desde 6mm hasta 9mm.</t>
  </si>
  <si>
    <t>Uretano Cemento ANTIMICROBIAL con tecnologia Polygiene y agregados de hierro para cargas extremas. FLOWFRESH IF Se puede aplicar en espesores desde 9 mm y hasta 12 mm.</t>
  </si>
  <si>
    <t>Uretano Cemento ANTIMICROBIAL con tecnologia Polygiene y agregados de cuarzos monocromaticos. FLOWFRESH SR Se puede aplicar en espesores desde 6mm hasta 8mm, incluido el acabado.</t>
  </si>
  <si>
    <t>Uretano Cemento ANTIMICROBIAL con tecnologia Polygiene y agregados de cuarzos policromaticos. FLOWFRESH SRQ Se puede aplicar en espesores desde 6mm hasta 8mm, incluido el acabado.</t>
  </si>
  <si>
    <t>Uretano Cemento ANTIMICROBIAL con tecnologia Polygiene. FLOWFRESH MF Se puede aplicar en espesores desde 4 mm hasta 7 mm.</t>
  </si>
  <si>
    <t>Uretano Cemento ANTIMICROBIAL con tecnologia Polygiene. FLOWFRESH  SL se puede aplicar en espesores desde 3 mm hasta 5 mm.</t>
  </si>
  <si>
    <r>
      <t xml:space="preserve">FLOWFRESH PIG. </t>
    </r>
    <r>
      <rPr>
        <b/>
        <sz val="12"/>
        <color theme="1"/>
        <rFont val="Century Gothic"/>
        <family val="2"/>
      </rPr>
      <t>BLUE-100</t>
    </r>
  </si>
  <si>
    <r>
      <t xml:space="preserve">FLOWFRESH PIG. </t>
    </r>
    <r>
      <rPr>
        <b/>
        <sz val="12"/>
        <color theme="1"/>
        <rFont val="Century Gothic"/>
        <family val="2"/>
      </rPr>
      <t>CREAM-100</t>
    </r>
  </si>
  <si>
    <r>
      <t xml:space="preserve">FLOWFRESH PIG. </t>
    </r>
    <r>
      <rPr>
        <b/>
        <sz val="12"/>
        <color theme="1"/>
        <rFont val="Century Gothic"/>
        <family val="2"/>
      </rPr>
      <t>GREEN-100</t>
    </r>
  </si>
  <si>
    <r>
      <t xml:space="preserve">FLOWFRESH PIG. </t>
    </r>
    <r>
      <rPr>
        <b/>
        <sz val="12"/>
        <color theme="1"/>
        <rFont val="Century Gothic"/>
        <family val="2"/>
      </rPr>
      <t>MIDGRAY-100</t>
    </r>
  </si>
  <si>
    <r>
      <t xml:space="preserve">FLOWFRESH PIG. </t>
    </r>
    <r>
      <rPr>
        <b/>
        <sz val="12"/>
        <color theme="1"/>
        <rFont val="Century Gothic"/>
        <family val="2"/>
      </rPr>
      <t>RED-100</t>
    </r>
  </si>
  <si>
    <r>
      <t xml:space="preserve">FLOWFRESH PIG. </t>
    </r>
    <r>
      <rPr>
        <b/>
        <sz val="12"/>
        <color theme="1"/>
        <rFont val="Century Gothic"/>
        <family val="2"/>
      </rPr>
      <t>TAN-100</t>
    </r>
  </si>
  <si>
    <r>
      <t xml:space="preserve">FLOWFRESH PIG. </t>
    </r>
    <r>
      <rPr>
        <b/>
        <sz val="12"/>
        <color theme="1"/>
        <rFont val="Century Gothic"/>
        <family val="2"/>
      </rPr>
      <t>SKYBLUE-100</t>
    </r>
  </si>
  <si>
    <t>Kit x 32 Lb - 15,4 kg</t>
  </si>
  <si>
    <t>Flowfresh SR - Kit x 42,6 Kg / 94 Lb</t>
  </si>
  <si>
    <t>Flowfresh SRQ - Kit x 42,6 Kg / 94 Lb</t>
  </si>
  <si>
    <t>Flowfresh SL - Kit X 27,67 / 61 Lb</t>
  </si>
  <si>
    <t>Flowfresh MF - Kit X 36,3 Kg / 80 Lb</t>
  </si>
  <si>
    <t>Flowfresh RT - Kit X 50 Kg / 110 Lb</t>
  </si>
  <si>
    <t>Unidad x 44 Lb
/19,96 Kg</t>
  </si>
  <si>
    <t>Unidad x 36 Lb / 
16,3 Kg</t>
  </si>
  <si>
    <t>Unidad x 55 Lb /
24,9 Kg</t>
  </si>
  <si>
    <t>Flowfresh IF - Kit X 56,2 Kg / 124 Lb</t>
  </si>
  <si>
    <t>Flowfresh HF - Kit X 59,9 Kg/132 Lb</t>
  </si>
  <si>
    <t>Total Kit</t>
  </si>
  <si>
    <t xml:space="preserve">Flowfresh HF </t>
  </si>
  <si>
    <t xml:space="preserve">Flowfresh RT </t>
  </si>
  <si>
    <t xml:space="preserve">Flowfresh IF </t>
  </si>
  <si>
    <t xml:space="preserve">Flowfresh SR </t>
  </si>
  <si>
    <t xml:space="preserve">Flowfresh SRQ </t>
  </si>
  <si>
    <t>Unid x 0,45 Kg</t>
  </si>
  <si>
    <t>Flowfresh Colored Quartz Gray - 50# bag</t>
  </si>
  <si>
    <t>Flowfresh Colored Quartz Red - 50# bag</t>
  </si>
  <si>
    <t>Flowfresh Colored Quartz Tan - 50# bag</t>
  </si>
  <si>
    <t>Flowfresh Colored Quartz Cream - 50# bag</t>
  </si>
  <si>
    <t>Flowfresh Colored Quartz Green - 50# bag</t>
  </si>
  <si>
    <t>Flowfresh Colored Quartz Blue - 50# bag</t>
  </si>
  <si>
    <t>Flowcoat CR (Resistencia Quimica)</t>
  </si>
  <si>
    <t>ACABADO ANTIDESLIZANTE (Mandatorio Sistema Flowfresh SR/SRQ )</t>
  </si>
  <si>
    <r>
      <t xml:space="preserve">Si ha seleccionado sistema </t>
    </r>
    <r>
      <rPr>
        <b/>
        <sz val="10"/>
        <rFont val="Century Gothic"/>
        <family val="2"/>
      </rPr>
      <t>FLOWFRESH SR</t>
    </r>
    <r>
      <rPr>
        <sz val="10"/>
        <rFont val="Century Gothic"/>
        <family val="2"/>
      </rPr>
      <t>, debe realizar riego de cuarzo monocromatico (Flowfresh Colored Quartz Mid Gray, Cream, Red, Blue, Tan, y/o Green) y proteger con sello de acabado mate o brillante en la siguiente seccion.  Tener en cuenta que el pigmento del mortero seleccionado debe ser del mismo color del cuarzo.</t>
    </r>
  </si>
  <si>
    <r>
      <t xml:space="preserve">Si ha seleccionado sistema </t>
    </r>
    <r>
      <rPr>
        <b/>
        <sz val="10"/>
        <rFont val="Century Gothic"/>
        <family val="2"/>
      </rPr>
      <t xml:space="preserve">FLOWFRESH SRQ, </t>
    </r>
    <r>
      <rPr>
        <sz val="10"/>
        <rFont val="Century Gothic"/>
        <family val="2"/>
      </rPr>
      <t>debe realizar riego de cuarzo policromatico (Flowfresh Colored Quartz Gray Mist, Blueberry Ice, Spring Glen, Kitchen Red, Shell y/o Rococo) y proteger con sello  acabado  brillante en la siguiente seccion. Tener en cuenta que el pigmento del mortero seleccionado debe ser de un color similar al cuarzo seleccionado.</t>
    </r>
  </si>
  <si>
    <r>
      <t>m</t>
    </r>
    <r>
      <rPr>
        <vertAlign val="superscript"/>
        <sz val="11"/>
        <color theme="1"/>
        <rFont val="Century Gothic"/>
        <family val="2"/>
      </rPr>
      <t>2</t>
    </r>
  </si>
  <si>
    <t>Selección espesor de aplicación</t>
  </si>
  <si>
    <t>El consumo de primer dependera de la porosidad del sustrato.  Para sistemas autonivelantes, FLOWFRESH MF/SL  se sugiere riego de filler en el primer con  Eucofiller Medio</t>
  </si>
  <si>
    <t>El consumo de primer dependera de la porosidad del sustrato.  Para sistemas de trafico pesado, se sugiere riego de filler en el primer con Eucofiller Vehicular.</t>
  </si>
  <si>
    <t>Unidad x 0,45 Kg</t>
  </si>
  <si>
    <t>Unidades x 0,45 Kg</t>
  </si>
  <si>
    <t>MEDIDAS DE LAS MEDIAS CAÑAS</t>
  </si>
  <si>
    <t xml:space="preserve">Espesor Media Caña (mm) </t>
  </si>
  <si>
    <t>Alto en el muro
(cm)</t>
  </si>
  <si>
    <t xml:space="preserve">Ancho sobre el piso
 (cm) </t>
  </si>
  <si>
    <t>Radio de la Herramienta (cm)</t>
  </si>
  <si>
    <t>Metros Lineales 
(m)</t>
  </si>
  <si>
    <t>Área transversal
(cm2)</t>
  </si>
  <si>
    <t>Área superficial
(m2)</t>
  </si>
  <si>
    <t>PRODUCTO</t>
  </si>
  <si>
    <t>COD.</t>
  </si>
  <si>
    <t>CONFORMACIÓN
DEL KIT</t>
  </si>
  <si>
    <t>REQUERIMIENTOS</t>
  </si>
  <si>
    <t>KITS REQUERIDOS 
(Incluye 5% de desperdicios)</t>
  </si>
  <si>
    <t>Imprimante</t>
  </si>
  <si>
    <t>kg/m2</t>
  </si>
  <si>
    <t>Eucofiller medio</t>
  </si>
  <si>
    <t>Litros/kit</t>
  </si>
  <si>
    <t>Sello para Media Cañas (Opcional)</t>
  </si>
  <si>
    <t>m2/Kit</t>
  </si>
  <si>
    <t>Total con Sello y Dcto</t>
  </si>
  <si>
    <t xml:space="preserve">IMPORTANTE </t>
  </si>
  <si>
    <t>* La revisión de las Hojas Técnicas de los productos es imprescindible antes de realizar una aplicación</t>
  </si>
  <si>
    <t>Hojas Tecnica Monopur Cove System</t>
  </si>
  <si>
    <t>https://www.toxement.com.co/media/4549/pisos-industriales_-monopur-industry-cove-system.pdf</t>
  </si>
  <si>
    <t>https://www.toxement.com.co/media/4594/tabla-de-resistencia-quimica-monopur.pdf</t>
  </si>
  <si>
    <t>Hoja Tecnica Monoprimer</t>
  </si>
  <si>
    <t>Guia para la Instalacion de los Sistemas Monopur Industry</t>
  </si>
  <si>
    <t>https://www.toxement.com.co/media/4033/mono-primer.pdf</t>
  </si>
  <si>
    <t>https://www.toxement.com.co/media/4604/intalacio-n_de_sistemas_monopur_industry.pdf</t>
  </si>
  <si>
    <t>Hoja Tecnica Monoprimer GC</t>
  </si>
  <si>
    <t>https://www.toxement.com.co/media/4547/pisos-industriales_-mono-primer-gc.pdf</t>
  </si>
  <si>
    <t>https://www.toxement.com.co/media/4606/web-monopur-2d-plus-3d.pdf</t>
  </si>
  <si>
    <t>ITEM</t>
  </si>
  <si>
    <t>REQUERIMIENTO</t>
  </si>
  <si>
    <t>1 kit</t>
  </si>
  <si>
    <t>Litros/Kit</t>
  </si>
  <si>
    <t>1 Kit Rinde</t>
  </si>
  <si>
    <t>FLOWFRESH COVE</t>
  </si>
  <si>
    <r>
      <rPr>
        <b/>
        <sz val="16"/>
        <color theme="0"/>
        <rFont val="Century Gothic"/>
        <family val="2"/>
      </rPr>
      <t>NOTA 1</t>
    </r>
    <r>
      <rPr>
        <sz val="16"/>
        <color theme="0"/>
        <rFont val="Century Gothic"/>
        <family val="2"/>
      </rPr>
      <t>: Ingrese los datos en las casillas de este color y seleccione el color de pigmento deseado</t>
    </r>
  </si>
  <si>
    <t>Peran TCW</t>
  </si>
  <si>
    <t>Flowfresh Resinas</t>
  </si>
  <si>
    <t>Flowfresh Cove Filler</t>
  </si>
  <si>
    <t>Unidad x 3 Galones</t>
  </si>
  <si>
    <t>Unidad x 10 Lb</t>
  </si>
  <si>
    <t>Unidades x 26 Lb</t>
  </si>
  <si>
    <t>Unidades x 26</t>
  </si>
  <si>
    <t>FLOWFRESH COVE (Mortero) - Kit x 64 Lb</t>
  </si>
  <si>
    <t>L/m2</t>
  </si>
  <si>
    <r>
      <t>L/m</t>
    </r>
    <r>
      <rPr>
        <vertAlign val="superscript"/>
        <sz val="10"/>
        <rFont val="Century Gothic"/>
        <family val="2"/>
      </rPr>
      <t>2</t>
    </r>
  </si>
  <si>
    <r>
      <t>kg/m</t>
    </r>
    <r>
      <rPr>
        <vertAlign val="superscript"/>
        <sz val="10"/>
        <rFont val="Century Gothic"/>
        <family val="2"/>
      </rPr>
      <t>2</t>
    </r>
  </si>
  <si>
    <t>Hojas Técnica Monopur Cove System</t>
  </si>
  <si>
    <t>Rend. (m2/bolsa)</t>
  </si>
  <si>
    <t>FLAKES *25kg (55lb)</t>
  </si>
  <si>
    <t>REND (m2/bolsa)</t>
  </si>
  <si>
    <t>RENDIMIENTO (m2/kit)</t>
  </si>
  <si>
    <t>REND. (m2/kit)</t>
  </si>
  <si>
    <t>240 Ft2/Unidad</t>
  </si>
  <si>
    <t>290 Ft2/Unidad</t>
  </si>
  <si>
    <t>300 Ft2/Unidad</t>
  </si>
  <si>
    <t>SELECCIÓN DEL SISTEMA</t>
  </si>
  <si>
    <t>FLOWFRESH RESINAS</t>
  </si>
  <si>
    <t>FLOWFRESH COVE FILLER</t>
  </si>
  <si>
    <t>PERAN TCW</t>
  </si>
  <si>
    <t xml:space="preserve">FLOWFRESH COVE  </t>
  </si>
  <si>
    <t>FLOWFRESH RESINAS X 10 LB * 2 Unidades</t>
  </si>
  <si>
    <t>PRECIO FILLER 
X 2 Unidades</t>
  </si>
  <si>
    <t>Kit Completo</t>
  </si>
  <si>
    <r>
      <rPr>
        <b/>
        <sz val="11"/>
        <color theme="1"/>
        <rFont val="Century Gothic"/>
        <family val="2"/>
      </rPr>
      <t xml:space="preserve">Flowfresh Resinas </t>
    </r>
    <r>
      <rPr>
        <sz val="11"/>
        <color theme="1"/>
        <rFont val="Century Gothic"/>
        <family val="2"/>
      </rPr>
      <t>( P/A x 5 Lb + P/B x 5 Lb)</t>
    </r>
  </si>
  <si>
    <t>PRECIO FILLER
x 2 unidades</t>
  </si>
  <si>
    <t>PROPORCION FILLER</t>
  </si>
  <si>
    <r>
      <rPr>
        <b/>
        <sz val="12"/>
        <color theme="1"/>
        <rFont val="Century Gothic"/>
        <family val="2"/>
      </rPr>
      <t xml:space="preserve">Flowfresh Resinas </t>
    </r>
    <r>
      <rPr>
        <sz val="12"/>
        <color theme="1"/>
        <rFont val="Century Gothic"/>
        <family val="2"/>
      </rPr>
      <t>( P/A x 5 Lb + P/B x 5 Lb)</t>
    </r>
  </si>
  <si>
    <t>VERSION (SEPTIEMBRE 2021)</t>
  </si>
  <si>
    <t>FLOWFRESH PIG. BLUE-100</t>
  </si>
  <si>
    <t>FLOWFRESH PIG. TAN-100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</si>
</sst>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-[$$-240A]\ * #,##0_-;\-[$$-240A]\ * #,##0_-;_-[$$-240A]\ * &quot;-&quot;??_-;_-@_-"/>
    <numFmt numFmtId="167" formatCode="0\ &quot;m2&quot;"/>
    <numFmt numFmtId="168" formatCode="_(* #,##0.00_);_(* \(#,##0.00\);_(* &quot;-&quot;??_);_(@_)"/>
    <numFmt numFmtId="169" formatCode="0.0"/>
    <numFmt numFmtId="170" formatCode="0\ &quot;Litros&quot;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sz val="14"/>
      <color theme="0"/>
      <name val="Century Gothic"/>
      <family val="2"/>
    </font>
    <font>
      <sz val="11"/>
      <color theme="1" tint="0.249977111117893"/>
      <name val="Century Gothic"/>
      <family val="2"/>
    </font>
    <font>
      <b/>
      <sz val="11"/>
      <color theme="1" tint="0.249977111117893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rgb="FFFF0000"/>
      <name val="Century Gothic"/>
      <family val="2"/>
    </font>
    <font>
      <b/>
      <vertAlign val="superscript"/>
      <sz val="10"/>
      <color theme="1"/>
      <name val="Century Gothic"/>
      <family val="2"/>
    </font>
    <font>
      <b/>
      <sz val="11"/>
      <color theme="1"/>
      <name val="Century Gothic"/>
      <family val="2"/>
    </font>
    <font>
      <vertAlign val="superscript"/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entury Gothic"/>
      <family val="2"/>
    </font>
    <font>
      <b/>
      <sz val="12"/>
      <color theme="0"/>
      <name val="Century Gothic"/>
      <family val="2"/>
    </font>
    <font>
      <sz val="11"/>
      <color theme="0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0"/>
      <name val="Century Gothic"/>
      <family val="2"/>
    </font>
    <font>
      <b/>
      <sz val="11"/>
      <color theme="0"/>
      <name val="Century Gothic"/>
      <family val="2"/>
    </font>
    <font>
      <sz val="11"/>
      <name val="Century Gothic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Century Gothic"/>
      <family val="2"/>
    </font>
    <font>
      <b/>
      <sz val="12"/>
      <color theme="1"/>
      <name val="Century Gothic"/>
      <family val="2"/>
    </font>
    <font>
      <b/>
      <sz val="14"/>
      <color theme="1"/>
      <name val="Calibri"/>
      <family val="2"/>
      <scheme val="minor"/>
    </font>
    <font>
      <sz val="14"/>
      <name val="Century Gothic"/>
      <family val="2"/>
    </font>
    <font>
      <sz val="16"/>
      <name val="Century Gothic"/>
      <family val="2"/>
    </font>
    <font>
      <b/>
      <sz val="16"/>
      <name val="Century Gothic"/>
      <family val="2"/>
    </font>
    <font>
      <sz val="16"/>
      <color theme="1"/>
      <name val="Calibri"/>
      <family val="2"/>
      <scheme val="minor"/>
    </font>
    <font>
      <sz val="12"/>
      <color theme="1"/>
      <name val="Century Gothic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Century Gothic"/>
      <family val="2"/>
    </font>
    <font>
      <b/>
      <sz val="11"/>
      <name val="Century Gothic"/>
      <family val="2"/>
    </font>
    <font>
      <vertAlign val="superscript"/>
      <sz val="11"/>
      <color theme="1"/>
      <name val="Century Gothic"/>
      <family val="2"/>
    </font>
    <font>
      <sz val="16"/>
      <color theme="0"/>
      <name val="Century Gothic"/>
      <family val="2"/>
    </font>
    <font>
      <b/>
      <sz val="15"/>
      <name val="Century Gothic"/>
      <family val="2"/>
    </font>
    <font>
      <b/>
      <sz val="15"/>
      <color theme="1"/>
      <name val="Century Gothic"/>
      <family val="2"/>
    </font>
    <font>
      <b/>
      <sz val="10"/>
      <color theme="1" tint="0.249977111117893"/>
      <name val="Century Gothic"/>
      <family val="2"/>
    </font>
    <font>
      <b/>
      <sz val="9"/>
      <color theme="1" tint="0.249977111117893"/>
      <name val="Century Gothic"/>
      <family val="2"/>
    </font>
    <font>
      <b/>
      <sz val="13"/>
      <name val="Century Gothic"/>
      <family val="2"/>
    </font>
    <font>
      <b/>
      <sz val="12"/>
      <name val="Century Gothic"/>
      <family val="2"/>
    </font>
    <font>
      <b/>
      <sz val="11"/>
      <color rgb="FF00B050"/>
      <name val="Century Gothic"/>
      <family val="2"/>
    </font>
    <font>
      <b/>
      <sz val="16"/>
      <color theme="0"/>
      <name val="Century Gothic"/>
      <family val="2"/>
    </font>
    <font>
      <b/>
      <sz val="8"/>
      <color theme="1" tint="0.249977111117893"/>
      <name val="Century Gothic"/>
      <family val="2"/>
    </font>
    <font>
      <b/>
      <sz val="12"/>
      <color theme="1" tint="0.249977111117893"/>
      <name val="Century Gothic"/>
      <family val="2"/>
    </font>
    <font>
      <vertAlign val="superscript"/>
      <sz val="10"/>
      <name val="Century Gothic"/>
      <family val="2"/>
    </font>
    <font>
      <b/>
      <sz val="13"/>
      <color theme="0"/>
      <name val="Century Gothic"/>
      <family val="2"/>
    </font>
    <font>
      <sz val="12"/>
      <name val="Century Gothic"/>
      <family val="2"/>
    </font>
    <font>
      <b/>
      <sz val="10"/>
      <color rgb="FF00CC00"/>
      <name val="Century Gothic"/>
      <family val="2"/>
    </font>
    <font>
      <b/>
      <sz val="14"/>
      <color rgb="FF22DD19"/>
      <name val="Calibri"/>
      <family val="2"/>
      <scheme val="minor"/>
    </font>
    <font>
      <b/>
      <sz val="10"/>
      <color rgb="FFFF0000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2BAB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1F7E18"/>
        <bgColor indexed="64"/>
      </patternFill>
    </fill>
    <fill>
      <patternFill patternType="solid">
        <fgColor rgb="FF3CB98E"/>
        <bgColor indexed="64"/>
      </patternFill>
    </fill>
    <fill>
      <patternFill patternType="solid">
        <fgColor rgb="FF3E9351"/>
        <bgColor indexed="64"/>
      </patternFill>
    </fill>
    <fill>
      <patternFill patternType="solid">
        <fgColor rgb="FFD2823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8" fontId="1" fillId="0" borderId="0" applyFont="0" applyFill="0" applyBorder="0" applyAlignment="0" applyProtection="0"/>
  </cellStyleXfs>
  <cellXfs count="663">
    <xf numFmtId="0" fontId="0" fillId="0" borderId="0" xfId="0"/>
    <xf numFmtId="0" fontId="2" fillId="0" borderId="0" xfId="0" applyFont="1" applyProtection="1"/>
    <xf numFmtId="0" fontId="2" fillId="2" borderId="4" xfId="0" applyFont="1" applyFill="1" applyBorder="1" applyProtection="1"/>
    <xf numFmtId="0" fontId="2" fillId="2" borderId="5" xfId="0" applyFont="1" applyFill="1" applyBorder="1" applyProtection="1"/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vertical="center" wrapText="1"/>
    </xf>
    <xf numFmtId="166" fontId="0" fillId="0" borderId="0" xfId="2" applyNumberFormat="1" applyFont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1" xfId="0" applyBorder="1"/>
    <xf numFmtId="1" fontId="8" fillId="0" borderId="1" xfId="0" applyNumberFormat="1" applyFont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0" fontId="2" fillId="0" borderId="0" xfId="0" applyFont="1" applyAlignment="1" applyProtection="1"/>
    <xf numFmtId="0" fontId="2" fillId="2" borderId="0" xfId="0" applyFont="1" applyFill="1" applyBorder="1" applyAlignment="1" applyProtection="1"/>
    <xf numFmtId="0" fontId="2" fillId="2" borderId="0" xfId="0" applyFont="1" applyFill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0" borderId="4" xfId="0" applyFont="1" applyBorder="1" applyProtection="1"/>
    <xf numFmtId="0" fontId="12" fillId="0" borderId="4" xfId="0" applyFont="1" applyBorder="1" applyProtection="1"/>
    <xf numFmtId="0" fontId="2" fillId="0" borderId="5" xfId="0" applyFont="1" applyBorder="1" applyProtection="1"/>
    <xf numFmtId="0" fontId="17" fillId="2" borderId="4" xfId="4" applyFill="1" applyBorder="1" applyProtection="1"/>
    <xf numFmtId="0" fontId="18" fillId="2" borderId="4" xfId="4" applyFont="1" applyFill="1" applyBorder="1" applyProtection="1"/>
    <xf numFmtId="0" fontId="3" fillId="2" borderId="5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/>
    </xf>
    <xf numFmtId="0" fontId="15" fillId="3" borderId="1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/>
    </xf>
    <xf numFmtId="0" fontId="24" fillId="0" borderId="0" xfId="0" applyFont="1" applyFill="1" applyBorder="1" applyAlignment="1">
      <alignment vertical="top" wrapText="1"/>
    </xf>
    <xf numFmtId="166" fontId="24" fillId="0" borderId="0" xfId="0" applyNumberFormat="1" applyFont="1" applyFill="1" applyBorder="1" applyAlignment="1">
      <alignment vertical="top" wrapText="1"/>
    </xf>
    <xf numFmtId="0" fontId="24" fillId="0" borderId="1" xfId="0" applyFont="1" applyFill="1" applyBorder="1" applyAlignment="1">
      <alignment horizontal="center" vertical="top" wrapText="1"/>
    </xf>
    <xf numFmtId="166" fontId="24" fillId="0" borderId="1" xfId="0" applyNumberFormat="1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vertical="top" wrapText="1"/>
    </xf>
    <xf numFmtId="0" fontId="17" fillId="2" borderId="0" xfId="4" applyFill="1" applyBorder="1" applyProtection="1"/>
    <xf numFmtId="0" fontId="18" fillId="2" borderId="0" xfId="4" applyFont="1" applyFill="1" applyBorder="1" applyProtection="1"/>
    <xf numFmtId="0" fontId="4" fillId="0" borderId="1" xfId="0" applyFont="1" applyFill="1" applyBorder="1" applyAlignment="1">
      <alignment vertical="top" wrapText="1"/>
    </xf>
    <xf numFmtId="166" fontId="24" fillId="0" borderId="1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 applyProtection="1">
      <alignment horizontal="center" vertical="center"/>
    </xf>
    <xf numFmtId="0" fontId="2" fillId="10" borderId="3" xfId="0" applyFont="1" applyFill="1" applyBorder="1" applyProtection="1"/>
    <xf numFmtId="0" fontId="3" fillId="1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>
      <alignment horizontal="center" vertical="top" wrapText="1"/>
    </xf>
    <xf numFmtId="0" fontId="24" fillId="0" borderId="14" xfId="0" applyFont="1" applyFill="1" applyBorder="1" applyAlignment="1">
      <alignment horizontal="center" vertical="top" wrapText="1"/>
    </xf>
    <xf numFmtId="0" fontId="24" fillId="0" borderId="19" xfId="0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NumberFormat="1"/>
    <xf numFmtId="0" fontId="0" fillId="11" borderId="0" xfId="0" applyFill="1"/>
    <xf numFmtId="0" fontId="4" fillId="0" borderId="1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top" wrapText="1"/>
    </xf>
    <xf numFmtId="0" fontId="24" fillId="0" borderId="18" xfId="0" applyFont="1" applyFill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top" wrapText="1"/>
    </xf>
    <xf numFmtId="0" fontId="4" fillId="0" borderId="40" xfId="0" applyFont="1" applyFill="1" applyBorder="1" applyAlignment="1">
      <alignment horizontal="center" vertical="top" wrapText="1"/>
    </xf>
    <xf numFmtId="0" fontId="4" fillId="0" borderId="41" xfId="0" applyFont="1" applyFill="1" applyBorder="1" applyAlignment="1">
      <alignment horizontal="center" vertical="top" wrapText="1"/>
    </xf>
    <xf numFmtId="0" fontId="4" fillId="0" borderId="24" xfId="0" applyFont="1" applyFill="1" applyBorder="1" applyAlignment="1">
      <alignment horizontal="center" vertical="top" wrapText="1"/>
    </xf>
    <xf numFmtId="0" fontId="0" fillId="0" borderId="25" xfId="0" applyBorder="1"/>
    <xf numFmtId="0" fontId="4" fillId="0" borderId="42" xfId="0" applyFont="1" applyFill="1" applyBorder="1" applyAlignment="1">
      <alignment horizontal="center" vertical="top" wrapText="1"/>
    </xf>
    <xf numFmtId="0" fontId="0" fillId="0" borderId="43" xfId="0" applyNumberFormat="1" applyBorder="1"/>
    <xf numFmtId="0" fontId="8" fillId="0" borderId="16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vertical="center" wrapText="1"/>
    </xf>
    <xf numFmtId="1" fontId="8" fillId="0" borderId="19" xfId="0" applyNumberFormat="1" applyFont="1" applyBorder="1" applyAlignment="1" applyProtection="1">
      <alignment horizontal="center" vertical="center"/>
    </xf>
    <xf numFmtId="0" fontId="15" fillId="3" borderId="19" xfId="0" applyFont="1" applyFill="1" applyBorder="1" applyAlignment="1" applyProtection="1">
      <alignment vertical="center" wrapText="1"/>
      <protection locked="0"/>
    </xf>
    <xf numFmtId="0" fontId="8" fillId="0" borderId="18" xfId="0" applyFont="1" applyBorder="1" applyAlignment="1" applyProtection="1">
      <alignment horizontal="center" vertical="center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/>
      <protection locked="0"/>
    </xf>
    <xf numFmtId="0" fontId="9" fillId="4" borderId="28" xfId="0" applyFont="1" applyFill="1" applyBorder="1" applyAlignment="1" applyProtection="1">
      <alignment horizontal="center" vertical="center" wrapText="1"/>
    </xf>
    <xf numFmtId="0" fontId="2" fillId="0" borderId="6" xfId="0" applyFont="1" applyBorder="1" applyProtection="1"/>
    <xf numFmtId="0" fontId="2" fillId="2" borderId="6" xfId="0" applyFont="1" applyFill="1" applyBorder="1" applyAlignment="1" applyProtection="1">
      <protection locked="0"/>
    </xf>
    <xf numFmtId="0" fontId="15" fillId="3" borderId="23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protection locked="0"/>
    </xf>
    <xf numFmtId="0" fontId="8" fillId="0" borderId="34" xfId="0" applyFont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top" wrapText="1"/>
    </xf>
    <xf numFmtId="0" fontId="10" fillId="2" borderId="0" xfId="0" applyFont="1" applyFill="1" applyBorder="1" applyProtection="1"/>
    <xf numFmtId="0" fontId="6" fillId="2" borderId="7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9" fillId="2" borderId="6" xfId="0" applyFont="1" applyFill="1" applyBorder="1" applyAlignment="1" applyProtection="1">
      <alignment horizontal="left"/>
    </xf>
    <xf numFmtId="0" fontId="30" fillId="0" borderId="0" xfId="0" applyFont="1"/>
    <xf numFmtId="0" fontId="27" fillId="12" borderId="18" xfId="0" applyFont="1" applyFill="1" applyBorder="1" applyAlignment="1">
      <alignment horizontal="center"/>
    </xf>
    <xf numFmtId="0" fontId="27" fillId="12" borderId="19" xfId="0" applyFont="1" applyFill="1" applyBorder="1" applyAlignment="1">
      <alignment horizontal="center"/>
    </xf>
    <xf numFmtId="0" fontId="27" fillId="12" borderId="20" xfId="0" applyFont="1" applyFill="1" applyBorder="1" applyAlignment="1">
      <alignment horizontal="center"/>
    </xf>
    <xf numFmtId="0" fontId="16" fillId="0" borderId="0" xfId="0" applyFont="1"/>
    <xf numFmtId="0" fontId="0" fillId="13" borderId="13" xfId="0" quotePrefix="1" applyFill="1" applyBorder="1"/>
    <xf numFmtId="0" fontId="0" fillId="13" borderId="14" xfId="0" applyFill="1" applyBorder="1"/>
    <xf numFmtId="0" fontId="0" fillId="13" borderId="15" xfId="0" applyFill="1" applyBorder="1" applyAlignment="1">
      <alignment horizontal="center" vertical="center"/>
    </xf>
    <xf numFmtId="0" fontId="0" fillId="13" borderId="16" xfId="0" quotePrefix="1" applyFill="1" applyBorder="1"/>
    <xf numFmtId="0" fontId="0" fillId="13" borderId="1" xfId="0" applyFill="1" applyBorder="1"/>
    <xf numFmtId="0" fontId="0" fillId="13" borderId="17" xfId="0" applyFill="1" applyBorder="1" applyAlignment="1">
      <alignment horizontal="center" vertical="center"/>
    </xf>
    <xf numFmtId="0" fontId="0" fillId="13" borderId="18" xfId="0" quotePrefix="1" applyFill="1" applyBorder="1"/>
    <xf numFmtId="0" fontId="0" fillId="13" borderId="19" xfId="0" applyFill="1" applyBorder="1"/>
    <xf numFmtId="0" fontId="0" fillId="13" borderId="20" xfId="0" applyFill="1" applyBorder="1" applyAlignment="1">
      <alignment horizontal="center" vertical="center"/>
    </xf>
    <xf numFmtId="0" fontId="0" fillId="14" borderId="13" xfId="0" quotePrefix="1" applyFill="1" applyBorder="1"/>
    <xf numFmtId="0" fontId="0" fillId="14" borderId="14" xfId="0" applyFill="1" applyBorder="1"/>
    <xf numFmtId="0" fontId="0" fillId="14" borderId="15" xfId="0" applyFill="1" applyBorder="1" applyAlignment="1">
      <alignment horizontal="center" vertical="center"/>
    </xf>
    <xf numFmtId="0" fontId="0" fillId="14" borderId="16" xfId="0" quotePrefix="1" applyFill="1" applyBorder="1"/>
    <xf numFmtId="0" fontId="0" fillId="14" borderId="1" xfId="0" applyFill="1" applyBorder="1"/>
    <xf numFmtId="0" fontId="0" fillId="14" borderId="17" xfId="0" applyFill="1" applyBorder="1" applyAlignment="1">
      <alignment horizontal="center" vertical="center"/>
    </xf>
    <xf numFmtId="0" fontId="0" fillId="14" borderId="18" xfId="0" quotePrefix="1" applyFill="1" applyBorder="1"/>
    <xf numFmtId="0" fontId="0" fillId="14" borderId="19" xfId="0" applyFill="1" applyBorder="1"/>
    <xf numFmtId="0" fontId="0" fillId="14" borderId="20" xfId="0" applyFill="1" applyBorder="1" applyAlignment="1">
      <alignment horizontal="center" vertical="center"/>
    </xf>
    <xf numFmtId="0" fontId="0" fillId="5" borderId="13" xfId="0" applyFill="1" applyBorder="1"/>
    <xf numFmtId="1" fontId="16" fillId="0" borderId="14" xfId="0" applyNumberFormat="1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166" fontId="24" fillId="0" borderId="0" xfId="0" applyNumberFormat="1" applyFont="1" applyFill="1" applyBorder="1" applyAlignment="1">
      <alignment horizontal="center" vertical="top" wrapText="1"/>
    </xf>
    <xf numFmtId="166" fontId="24" fillId="0" borderId="19" xfId="0" applyNumberFormat="1" applyFont="1" applyFill="1" applyBorder="1" applyAlignment="1">
      <alignment horizontal="center" vertical="top" wrapText="1"/>
    </xf>
    <xf numFmtId="0" fontId="4" fillId="15" borderId="53" xfId="0" applyFont="1" applyFill="1" applyBorder="1" applyAlignment="1">
      <alignment horizontal="center" vertical="top" wrapText="1"/>
    </xf>
    <xf numFmtId="0" fontId="24" fillId="0" borderId="21" xfId="0" applyFont="1" applyFill="1" applyBorder="1" applyAlignment="1">
      <alignment horizontal="center" vertical="top" wrapText="1"/>
    </xf>
    <xf numFmtId="0" fontId="4" fillId="15" borderId="39" xfId="0" applyFont="1" applyFill="1" applyBorder="1" applyAlignment="1">
      <alignment horizontal="center" vertical="top" wrapText="1"/>
    </xf>
    <xf numFmtId="0" fontId="4" fillId="0" borderId="51" xfId="0" applyFont="1" applyFill="1" applyBorder="1" applyAlignment="1">
      <alignment horizontal="center" vertical="top" wrapText="1"/>
    </xf>
    <xf numFmtId="0" fontId="4" fillId="0" borderId="52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2" borderId="6" xfId="0" applyFont="1" applyFill="1" applyBorder="1" applyProtection="1"/>
    <xf numFmtId="0" fontId="2" fillId="2" borderId="3" xfId="0" applyFont="1" applyFill="1" applyBorder="1" applyProtection="1"/>
    <xf numFmtId="0" fontId="2" fillId="2" borderId="3" xfId="0" applyFont="1" applyFill="1" applyBorder="1" applyAlignment="1" applyProtection="1"/>
    <xf numFmtId="0" fontId="2" fillId="2" borderId="7" xfId="0" applyFont="1" applyFill="1" applyBorder="1" applyProtection="1"/>
    <xf numFmtId="0" fontId="5" fillId="2" borderId="0" xfId="0" applyFont="1" applyFill="1" applyBorder="1" applyAlignment="1" applyProtection="1">
      <alignment vertical="center" wrapText="1"/>
    </xf>
    <xf numFmtId="0" fontId="12" fillId="2" borderId="0" xfId="0" applyFont="1" applyFill="1" applyBorder="1" applyAlignment="1" applyProtection="1">
      <alignment horizontal="left"/>
    </xf>
    <xf numFmtId="0" fontId="17" fillId="2" borderId="0" xfId="4" applyFill="1" applyBorder="1" applyAlignment="1" applyProtection="1">
      <alignment horizontal="left"/>
    </xf>
    <xf numFmtId="0" fontId="12" fillId="2" borderId="0" xfId="0" applyFont="1" applyFill="1" applyBorder="1" applyAlignment="1" applyProtection="1"/>
    <xf numFmtId="0" fontId="17" fillId="2" borderId="0" xfId="4" applyFill="1" applyBorder="1" applyAlignment="1" applyProtection="1"/>
    <xf numFmtId="166" fontId="24" fillId="0" borderId="21" xfId="0" applyNumberFormat="1" applyFont="1" applyFill="1" applyBorder="1" applyAlignment="1">
      <alignment horizontal="center" vertical="top" wrapText="1"/>
    </xf>
    <xf numFmtId="166" fontId="24" fillId="0" borderId="32" xfId="0" applyNumberFormat="1" applyFont="1" applyFill="1" applyBorder="1" applyAlignment="1">
      <alignment horizontal="center" vertical="top" wrapText="1"/>
    </xf>
    <xf numFmtId="166" fontId="24" fillId="0" borderId="25" xfId="0" applyNumberFormat="1" applyFont="1" applyFill="1" applyBorder="1" applyAlignment="1">
      <alignment horizontal="center" vertical="top" wrapText="1"/>
    </xf>
    <xf numFmtId="166" fontId="24" fillId="0" borderId="38" xfId="0" applyNumberFormat="1" applyFont="1" applyFill="1" applyBorder="1" applyAlignment="1">
      <alignment horizontal="center" vertical="top" wrapText="1"/>
    </xf>
    <xf numFmtId="166" fontId="24" fillId="0" borderId="14" xfId="0" applyNumberFormat="1" applyFont="1" applyFill="1" applyBorder="1" applyAlignment="1">
      <alignment horizontal="center" vertical="top" wrapText="1"/>
    </xf>
    <xf numFmtId="166" fontId="24" fillId="0" borderId="37" xfId="0" applyNumberFormat="1" applyFont="1" applyFill="1" applyBorder="1" applyAlignment="1">
      <alignment horizontal="center" vertical="top" wrapText="1"/>
    </xf>
    <xf numFmtId="0" fontId="24" fillId="0" borderId="1" xfId="0" applyNumberFormat="1" applyFont="1" applyFill="1" applyBorder="1" applyAlignment="1">
      <alignment horizontal="left" vertical="top" wrapText="1"/>
    </xf>
    <xf numFmtId="0" fontId="9" fillId="2" borderId="33" xfId="0" applyFont="1" applyFill="1" applyBorder="1" applyAlignment="1" applyProtection="1">
      <alignment vertical="center" wrapText="1"/>
    </xf>
    <xf numFmtId="0" fontId="9" fillId="2" borderId="36" xfId="0" applyFont="1" applyFill="1" applyBorder="1" applyAlignment="1" applyProtection="1">
      <alignment vertical="center" wrapText="1"/>
    </xf>
    <xf numFmtId="0" fontId="9" fillId="2" borderId="22" xfId="0" applyFont="1" applyFill="1" applyBorder="1" applyAlignment="1" applyProtection="1">
      <alignment horizontal="center" vertical="center" wrapText="1"/>
    </xf>
    <xf numFmtId="0" fontId="9" fillId="2" borderId="54" xfId="0" applyFont="1" applyFill="1" applyBorder="1" applyAlignment="1" applyProtection="1">
      <alignment horizontal="center" vertical="center" wrapText="1"/>
    </xf>
    <xf numFmtId="1" fontId="8" fillId="2" borderId="29" xfId="0" applyNumberFormat="1" applyFont="1" applyFill="1" applyBorder="1" applyAlignment="1" applyProtection="1">
      <alignment horizontal="center" vertical="center"/>
    </xf>
    <xf numFmtId="0" fontId="4" fillId="16" borderId="6" xfId="0" applyFont="1" applyFill="1" applyBorder="1" applyAlignment="1">
      <alignment horizontal="center" vertical="top" wrapText="1"/>
    </xf>
    <xf numFmtId="0" fontId="0" fillId="0" borderId="9" xfId="0" applyNumberFormat="1" applyBorder="1"/>
    <xf numFmtId="0" fontId="0" fillId="0" borderId="0" xfId="0" applyBorder="1" applyAlignment="1">
      <alignment horizontal="center"/>
    </xf>
    <xf numFmtId="0" fontId="24" fillId="0" borderId="0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20" xfId="0" applyFont="1" applyBorder="1" applyAlignment="1">
      <alignment horizontal="center" vertical="top" wrapText="1"/>
    </xf>
    <xf numFmtId="0" fontId="24" fillId="0" borderId="1" xfId="0" applyNumberFormat="1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top" wrapText="1"/>
    </xf>
    <xf numFmtId="0" fontId="31" fillId="0" borderId="19" xfId="0" applyFont="1" applyFill="1" applyBorder="1" applyAlignment="1">
      <alignment horizontal="center" vertical="top" wrapText="1"/>
    </xf>
    <xf numFmtId="0" fontId="32" fillId="0" borderId="13" xfId="0" applyFont="1" applyFill="1" applyBorder="1" applyAlignment="1">
      <alignment vertical="top" wrapText="1"/>
    </xf>
    <xf numFmtId="0" fontId="32" fillId="0" borderId="14" xfId="0" applyFont="1" applyFill="1" applyBorder="1" applyAlignment="1">
      <alignment horizontal="center" vertical="top" wrapText="1"/>
    </xf>
    <xf numFmtId="0" fontId="32" fillId="0" borderId="15" xfId="0" applyFont="1" applyFill="1" applyBorder="1" applyAlignment="1">
      <alignment horizontal="center" vertical="top" wrapText="1"/>
    </xf>
    <xf numFmtId="0" fontId="32" fillId="0" borderId="16" xfId="0" applyFont="1" applyFill="1" applyBorder="1" applyAlignment="1">
      <alignment vertical="top" wrapText="1"/>
    </xf>
    <xf numFmtId="0" fontId="32" fillId="0" borderId="1" xfId="0" applyFont="1" applyFill="1" applyBorder="1" applyAlignment="1">
      <alignment horizontal="center" vertical="top" wrapText="1"/>
    </xf>
    <xf numFmtId="0" fontId="32" fillId="0" borderId="17" xfId="0" applyFont="1" applyFill="1" applyBorder="1" applyAlignment="1">
      <alignment horizontal="center" vertical="top" wrapText="1"/>
    </xf>
    <xf numFmtId="0" fontId="32" fillId="0" borderId="18" xfId="0" applyFont="1" applyFill="1" applyBorder="1" applyAlignment="1">
      <alignment vertical="top" wrapText="1"/>
    </xf>
    <xf numFmtId="0" fontId="32" fillId="0" borderId="19" xfId="0" applyFont="1" applyFill="1" applyBorder="1" applyAlignment="1">
      <alignment horizontal="center" vertical="top" wrapText="1"/>
    </xf>
    <xf numFmtId="0" fontId="32" fillId="0" borderId="20" xfId="0" applyFont="1" applyFill="1" applyBorder="1" applyAlignment="1">
      <alignment horizontal="center" vertical="top" wrapText="1"/>
    </xf>
    <xf numFmtId="0" fontId="32" fillId="0" borderId="46" xfId="0" applyFont="1" applyFill="1" applyBorder="1" applyAlignment="1">
      <alignment vertical="top" wrapText="1"/>
    </xf>
    <xf numFmtId="0" fontId="32" fillId="0" borderId="21" xfId="0" applyFont="1" applyFill="1" applyBorder="1" applyAlignment="1">
      <alignment horizontal="center" vertical="top" wrapText="1"/>
    </xf>
    <xf numFmtId="0" fontId="32" fillId="0" borderId="32" xfId="0" applyFont="1" applyFill="1" applyBorder="1" applyAlignment="1">
      <alignment horizontal="center" vertical="top" wrapText="1"/>
    </xf>
    <xf numFmtId="0" fontId="32" fillId="0" borderId="25" xfId="0" applyFont="1" applyFill="1" applyBorder="1" applyAlignment="1">
      <alignment horizontal="center" vertical="top" wrapText="1"/>
    </xf>
    <xf numFmtId="0" fontId="32" fillId="0" borderId="31" xfId="0" applyFont="1" applyFill="1" applyBorder="1" applyAlignment="1">
      <alignment horizontal="center" vertical="top" wrapText="1"/>
    </xf>
    <xf numFmtId="0" fontId="32" fillId="0" borderId="16" xfId="0" applyFont="1" applyFill="1" applyBorder="1" applyAlignment="1">
      <alignment horizontal="center" vertical="top" wrapText="1"/>
    </xf>
    <xf numFmtId="0" fontId="32" fillId="0" borderId="38" xfId="0" applyFont="1" applyFill="1" applyBorder="1" applyAlignment="1">
      <alignment horizontal="center" vertical="top" wrapText="1"/>
    </xf>
    <xf numFmtId="0" fontId="32" fillId="0" borderId="18" xfId="0" applyFont="1" applyFill="1" applyBorder="1" applyAlignment="1">
      <alignment horizontal="center" vertical="top" wrapText="1"/>
    </xf>
    <xf numFmtId="0" fontId="32" fillId="0" borderId="30" xfId="0" applyFont="1" applyFill="1" applyBorder="1" applyAlignment="1">
      <alignment horizontal="center" vertical="top" wrapText="1"/>
    </xf>
    <xf numFmtId="0" fontId="34" fillId="0" borderId="2" xfId="0" applyFont="1" applyBorder="1"/>
    <xf numFmtId="0" fontId="33" fillId="16" borderId="28" xfId="0" applyFont="1" applyFill="1" applyBorder="1" applyAlignment="1">
      <alignment horizontal="center" vertical="top" wrapText="1"/>
    </xf>
    <xf numFmtId="0" fontId="32" fillId="0" borderId="7" xfId="0" applyFont="1" applyFill="1" applyBorder="1" applyAlignment="1">
      <alignment horizontal="center" vertical="top" wrapText="1"/>
    </xf>
    <xf numFmtId="0" fontId="35" fillId="0" borderId="16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/>
    </xf>
    <xf numFmtId="0" fontId="35" fillId="0" borderId="17" xfId="0" applyFont="1" applyBorder="1" applyAlignment="1">
      <alignment horizontal="center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/>
    </xf>
    <xf numFmtId="0" fontId="36" fillId="5" borderId="13" xfId="0" applyFont="1" applyFill="1" applyBorder="1"/>
    <xf numFmtId="1" fontId="30" fillId="0" borderId="14" xfId="0" applyNumberFormat="1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36" fillId="0" borderId="0" xfId="0" applyFont="1"/>
    <xf numFmtId="0" fontId="36" fillId="0" borderId="16" xfId="0" applyFont="1" applyBorder="1"/>
    <xf numFmtId="0" fontId="36" fillId="0" borderId="1" xfId="0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0" fontId="36" fillId="0" borderId="18" xfId="0" applyFont="1" applyBorder="1"/>
    <xf numFmtId="0" fontId="36" fillId="0" borderId="19" xfId="0" applyFont="1" applyBorder="1" applyAlignment="1">
      <alignment horizontal="center"/>
    </xf>
    <xf numFmtId="0" fontId="37" fillId="0" borderId="19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0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left"/>
    </xf>
    <xf numFmtId="0" fontId="36" fillId="0" borderId="18" xfId="0" applyFont="1" applyBorder="1" applyAlignment="1">
      <alignment horizontal="left"/>
    </xf>
    <xf numFmtId="0" fontId="36" fillId="0" borderId="0" xfId="0" applyFont="1" applyBorder="1" applyAlignment="1">
      <alignment horizontal="left"/>
    </xf>
    <xf numFmtId="0" fontId="36" fillId="5" borderId="28" xfId="0" applyFont="1" applyFill="1" applyBorder="1"/>
    <xf numFmtId="1" fontId="30" fillId="0" borderId="50" xfId="0" applyNumberFormat="1" applyFont="1" applyBorder="1" applyAlignment="1">
      <alignment horizontal="center"/>
    </xf>
    <xf numFmtId="0" fontId="30" fillId="0" borderId="50" xfId="0" applyFont="1" applyBorder="1" applyAlignment="1">
      <alignment horizontal="center"/>
    </xf>
    <xf numFmtId="0" fontId="30" fillId="0" borderId="51" xfId="0" applyFont="1" applyBorder="1" applyAlignment="1">
      <alignment horizontal="center"/>
    </xf>
    <xf numFmtId="0" fontId="36" fillId="0" borderId="13" xfId="0" applyFont="1" applyBorder="1" applyAlignment="1">
      <alignment horizontal="left"/>
    </xf>
    <xf numFmtId="0" fontId="36" fillId="0" borderId="14" xfId="0" applyFont="1" applyBorder="1" applyAlignment="1">
      <alignment horizontal="center"/>
    </xf>
    <xf numFmtId="0" fontId="31" fillId="0" borderId="15" xfId="0" applyNumberFormat="1" applyFont="1" applyFill="1" applyBorder="1" applyAlignment="1">
      <alignment horizontal="left" vertical="top" wrapText="1"/>
    </xf>
    <xf numFmtId="0" fontId="31" fillId="0" borderId="17" xfId="0" applyNumberFormat="1" applyFont="1" applyFill="1" applyBorder="1" applyAlignment="1">
      <alignment horizontal="left" vertical="top" wrapText="1"/>
    </xf>
    <xf numFmtId="0" fontId="36" fillId="0" borderId="17" xfId="0" applyFont="1" applyBorder="1"/>
    <xf numFmtId="0" fontId="36" fillId="0" borderId="20" xfId="0" applyFont="1" applyBorder="1"/>
    <xf numFmtId="0" fontId="31" fillId="0" borderId="0" xfId="0" applyFont="1" applyBorder="1" applyAlignment="1">
      <alignment vertical="top" wrapText="1"/>
    </xf>
    <xf numFmtId="166" fontId="36" fillId="0" borderId="0" xfId="0" applyNumberFormat="1" applyFont="1" applyBorder="1" applyAlignment="1">
      <alignment horizontal="center"/>
    </xf>
    <xf numFmtId="0" fontId="36" fillId="0" borderId="14" xfId="0" applyFont="1" applyBorder="1"/>
    <xf numFmtId="0" fontId="31" fillId="0" borderId="16" xfId="0" applyFont="1" applyBorder="1" applyAlignment="1">
      <alignment horizontal="left" vertical="top" wrapText="1"/>
    </xf>
    <xf numFmtId="0" fontId="36" fillId="0" borderId="1" xfId="0" applyFont="1" applyBorder="1" applyAlignment="1">
      <alignment horizontal="left"/>
    </xf>
    <xf numFmtId="0" fontId="31" fillId="0" borderId="0" xfId="0" applyFont="1" applyBorder="1" applyAlignment="1">
      <alignment horizontal="left" vertical="top" wrapText="1"/>
    </xf>
    <xf numFmtId="166" fontId="31" fillId="0" borderId="0" xfId="0" applyNumberFormat="1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vertical="top" wrapText="1"/>
    </xf>
    <xf numFmtId="0" fontId="32" fillId="0" borderId="44" xfId="0" applyFont="1" applyFill="1" applyBorder="1" applyAlignment="1">
      <alignment horizontal="center" vertical="top" wrapText="1"/>
    </xf>
    <xf numFmtId="0" fontId="32" fillId="0" borderId="46" xfId="0" applyFont="1" applyFill="1" applyBorder="1" applyAlignment="1">
      <alignment horizontal="center" vertical="top" wrapText="1"/>
    </xf>
    <xf numFmtId="0" fontId="36" fillId="2" borderId="1" xfId="0" applyFont="1" applyFill="1" applyBorder="1" applyAlignment="1">
      <alignment horizontal="center"/>
    </xf>
    <xf numFmtId="0" fontId="24" fillId="0" borderId="16" xfId="0" applyFont="1" applyBorder="1" applyAlignment="1">
      <alignment vertical="top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center" vertical="center" wrapText="1"/>
    </xf>
    <xf numFmtId="0" fontId="20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/>
    </xf>
    <xf numFmtId="0" fontId="12" fillId="2" borderId="21" xfId="0" applyFont="1" applyFill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vertical="center" wrapText="1"/>
    </xf>
    <xf numFmtId="1" fontId="2" fillId="0" borderId="19" xfId="0" applyNumberFormat="1" applyFont="1" applyBorder="1" applyAlignment="1" applyProtection="1">
      <alignment horizontal="center" vertical="center"/>
    </xf>
    <xf numFmtId="0" fontId="12" fillId="2" borderId="47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0" fillId="3" borderId="19" xfId="0" applyFont="1" applyFill="1" applyBorder="1" applyAlignment="1" applyProtection="1">
      <alignment vertical="center" wrapText="1"/>
      <protection locked="0"/>
    </xf>
    <xf numFmtId="1" fontId="2" fillId="2" borderId="19" xfId="0" applyNumberFormat="1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5" fillId="3" borderId="19" xfId="0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/>
    </xf>
    <xf numFmtId="0" fontId="20" fillId="3" borderId="23" xfId="0" applyFont="1" applyFill="1" applyBorder="1" applyAlignment="1" applyProtection="1">
      <alignment vertical="center" wrapText="1"/>
      <protection locked="0"/>
    </xf>
    <xf numFmtId="0" fontId="24" fillId="4" borderId="18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7" xfId="0" applyFont="1" applyFill="1" applyBorder="1" applyAlignment="1">
      <alignment horizontal="center"/>
    </xf>
    <xf numFmtId="0" fontId="2" fillId="0" borderId="0" xfId="0" applyFont="1"/>
    <xf numFmtId="0" fontId="2" fillId="2" borderId="4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2" fontId="7" fillId="2" borderId="20" xfId="0" applyNumberFormat="1" applyFont="1" applyFill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1" fontId="39" fillId="2" borderId="1" xfId="0" applyNumberFormat="1" applyFont="1" applyFill="1" applyBorder="1" applyAlignment="1">
      <alignment horizontal="center" vertical="center"/>
    </xf>
    <xf numFmtId="165" fontId="2" fillId="0" borderId="0" xfId="0" applyNumberFormat="1" applyFont="1"/>
    <xf numFmtId="165" fontId="2" fillId="0" borderId="0" xfId="0" applyNumberFormat="1" applyFont="1" applyAlignment="1">
      <alignment horizontal="center" vertical="center"/>
    </xf>
    <xf numFmtId="0" fontId="39" fillId="2" borderId="4" xfId="0" applyFont="1" applyFill="1" applyBorder="1" applyAlignment="1">
      <alignment vertical="center"/>
    </xf>
    <xf numFmtId="0" fontId="48" fillId="2" borderId="4" xfId="0" applyFont="1" applyFill="1" applyBorder="1" applyAlignment="1">
      <alignment vertical="top" wrapText="1"/>
    </xf>
    <xf numFmtId="0" fontId="12" fillId="0" borderId="4" xfId="0" applyFont="1" applyBorder="1"/>
    <xf numFmtId="0" fontId="17" fillId="0" borderId="0" xfId="4" applyBorder="1"/>
    <xf numFmtId="0" fontId="48" fillId="2" borderId="5" xfId="0" applyFont="1" applyFill="1" applyBorder="1" applyAlignment="1">
      <alignment vertical="top" wrapText="1"/>
    </xf>
    <xf numFmtId="0" fontId="48" fillId="2" borderId="8" xfId="0" applyFont="1" applyFill="1" applyBorder="1" applyAlignment="1">
      <alignment vertical="top" wrapText="1"/>
    </xf>
    <xf numFmtId="0" fontId="48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0" borderId="9" xfId="0" applyFont="1" applyBorder="1"/>
    <xf numFmtId="0" fontId="3" fillId="2" borderId="5" xfId="0" applyFont="1" applyFill="1" applyBorder="1" applyAlignment="1">
      <alignment horizontal="center" vertical="center"/>
    </xf>
    <xf numFmtId="169" fontId="51" fillId="2" borderId="20" xfId="0" applyNumberFormat="1" applyFont="1" applyFill="1" applyBorder="1" applyAlignment="1" applyProtection="1">
      <alignment horizontal="center" vertical="center"/>
      <protection locked="0"/>
    </xf>
    <xf numFmtId="0" fontId="19" fillId="2" borderId="4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/>
    </xf>
    <xf numFmtId="0" fontId="26" fillId="0" borderId="8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/>
    </xf>
    <xf numFmtId="1" fontId="24" fillId="0" borderId="2" xfId="0" applyNumberFormat="1" applyFont="1" applyBorder="1" applyAlignment="1">
      <alignment horizontal="center" vertical="center"/>
    </xf>
    <xf numFmtId="167" fontId="4" fillId="2" borderId="2" xfId="0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/>
    </xf>
    <xf numFmtId="0" fontId="24" fillId="0" borderId="60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/>
    </xf>
    <xf numFmtId="170" fontId="4" fillId="2" borderId="60" xfId="0" applyNumberFormat="1" applyFont="1" applyFill="1" applyBorder="1" applyAlignment="1">
      <alignment horizontal="center" vertical="center" wrapText="1"/>
    </xf>
    <xf numFmtId="1" fontId="24" fillId="2" borderId="60" xfId="0" applyNumberFormat="1" applyFont="1" applyFill="1" applyBorder="1" applyAlignment="1">
      <alignment horizontal="center"/>
    </xf>
    <xf numFmtId="0" fontId="2" fillId="2" borderId="8" xfId="0" applyFont="1" applyFill="1" applyBorder="1"/>
    <xf numFmtId="0" fontId="39" fillId="2" borderId="5" xfId="0" applyFont="1" applyFill="1" applyBorder="1" applyAlignment="1">
      <alignment vertical="center"/>
    </xf>
    <xf numFmtId="0" fontId="26" fillId="2" borderId="5" xfId="0" applyFont="1" applyFill="1" applyBorder="1" applyAlignment="1">
      <alignment wrapTex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0" fillId="10" borderId="1" xfId="0" applyFont="1" applyFill="1" applyBorder="1" applyAlignment="1">
      <alignment horizontal="center" vertical="center" wrapText="1"/>
    </xf>
    <xf numFmtId="0" fontId="2" fillId="2" borderId="5" xfId="0" applyFont="1" applyFill="1" applyBorder="1"/>
    <xf numFmtId="0" fontId="2" fillId="2" borderId="9" xfId="0" applyFont="1" applyFill="1" applyBorder="1"/>
    <xf numFmtId="0" fontId="45" fillId="10" borderId="1" xfId="0" applyFont="1" applyFill="1" applyBorder="1" applyAlignment="1">
      <alignment horizontal="center" vertical="center" wrapText="1"/>
    </xf>
    <xf numFmtId="0" fontId="45" fillId="10" borderId="16" xfId="0" applyFont="1" applyFill="1" applyBorder="1" applyAlignment="1">
      <alignment horizontal="center" vertical="center" wrapText="1"/>
    </xf>
    <xf numFmtId="0" fontId="45" fillId="10" borderId="17" xfId="0" applyFont="1" applyFill="1" applyBorder="1" applyAlignment="1">
      <alignment horizontal="center" vertical="center" wrapText="1"/>
    </xf>
    <xf numFmtId="0" fontId="53" fillId="3" borderId="18" xfId="0" applyFont="1" applyFill="1" applyBorder="1" applyAlignment="1" applyProtection="1">
      <alignment horizontal="center" vertical="center" wrapText="1"/>
    </xf>
    <xf numFmtId="0" fontId="53" fillId="3" borderId="19" xfId="0" applyFont="1" applyFill="1" applyBorder="1" applyAlignment="1" applyProtection="1">
      <alignment horizontal="center" vertical="center" wrapText="1"/>
    </xf>
    <xf numFmtId="2" fontId="12" fillId="2" borderId="19" xfId="0" applyNumberFormat="1" applyFont="1" applyFill="1" applyBorder="1" applyAlignment="1">
      <alignment horizontal="center" vertical="center"/>
    </xf>
    <xf numFmtId="0" fontId="50" fillId="10" borderId="16" xfId="0" applyFont="1" applyFill="1" applyBorder="1" applyAlignment="1">
      <alignment horizontal="center" vertical="center" wrapText="1"/>
    </xf>
    <xf numFmtId="0" fontId="50" fillId="10" borderId="17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 applyProtection="1">
      <alignment horizontal="left" vertical="center" wrapText="1"/>
    </xf>
    <xf numFmtId="0" fontId="14" fillId="3" borderId="39" xfId="0" applyFont="1" applyFill="1" applyBorder="1" applyAlignment="1" applyProtection="1">
      <alignment horizontal="center" vertical="center" wrapText="1"/>
    </xf>
    <xf numFmtId="0" fontId="54" fillId="0" borderId="1" xfId="0" applyFont="1" applyBorder="1" applyAlignment="1">
      <alignment horizontal="left" vertical="center" wrapText="1"/>
    </xf>
    <xf numFmtId="1" fontId="47" fillId="2" borderId="1" xfId="0" applyNumberFormat="1" applyFont="1" applyFill="1" applyBorder="1" applyAlignment="1">
      <alignment horizontal="center" vertical="center"/>
    </xf>
    <xf numFmtId="1" fontId="47" fillId="0" borderId="1" xfId="0" applyNumberFormat="1" applyFont="1" applyBorder="1" applyAlignment="1">
      <alignment horizontal="center"/>
    </xf>
    <xf numFmtId="1" fontId="54" fillId="2" borderId="1" xfId="0" applyNumberFormat="1" applyFont="1" applyFill="1" applyBorder="1" applyAlignment="1">
      <alignment horizontal="center"/>
    </xf>
    <xf numFmtId="0" fontId="19" fillId="3" borderId="1" xfId="0" applyFont="1" applyFill="1" applyBorder="1" applyAlignment="1" applyProtection="1">
      <alignment horizontal="left" vertical="center" wrapText="1"/>
    </xf>
    <xf numFmtId="0" fontId="25" fillId="3" borderId="39" xfId="0" applyFont="1" applyFill="1" applyBorder="1" applyAlignment="1" applyProtection="1">
      <alignment horizontal="center" vertical="center" wrapText="1"/>
    </xf>
    <xf numFmtId="1" fontId="54" fillId="2" borderId="1" xfId="0" applyNumberFormat="1" applyFont="1" applyFill="1" applyBorder="1" applyAlignment="1">
      <alignment horizontal="center" vertical="center"/>
    </xf>
    <xf numFmtId="2" fontId="51" fillId="2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vertical="center" wrapText="1"/>
    </xf>
    <xf numFmtId="0" fontId="2" fillId="2" borderId="8" xfId="0" applyFont="1" applyFill="1" applyBorder="1" applyProtection="1"/>
    <xf numFmtId="0" fontId="2" fillId="2" borderId="2" xfId="0" applyFont="1" applyFill="1" applyBorder="1" applyProtection="1"/>
    <xf numFmtId="0" fontId="2" fillId="2" borderId="9" xfId="0" applyFont="1" applyFill="1" applyBorder="1" applyProtection="1"/>
    <xf numFmtId="0" fontId="31" fillId="2" borderId="1" xfId="0" applyFont="1" applyFill="1" applyBorder="1" applyAlignment="1">
      <alignment horizontal="center" vertical="top" wrapText="1"/>
    </xf>
    <xf numFmtId="0" fontId="36" fillId="2" borderId="15" xfId="0" applyFont="1" applyFill="1" applyBorder="1" applyAlignment="1">
      <alignment horizontal="center"/>
    </xf>
    <xf numFmtId="0" fontId="31" fillId="0" borderId="16" xfId="0" applyFont="1" applyBorder="1" applyAlignment="1">
      <alignment vertical="top" wrapText="1"/>
    </xf>
    <xf numFmtId="0" fontId="31" fillId="0" borderId="18" xfId="0" applyFont="1" applyBorder="1" applyAlignment="1">
      <alignment vertical="top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2" fillId="0" borderId="8" xfId="0" applyFont="1" applyBorder="1" applyProtection="1"/>
    <xf numFmtId="0" fontId="2" fillId="0" borderId="2" xfId="0" applyFont="1" applyBorder="1" applyProtection="1"/>
    <xf numFmtId="0" fontId="2" fillId="2" borderId="2" xfId="0" applyFont="1" applyFill="1" applyBorder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2" fontId="12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47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39" fillId="2" borderId="0" xfId="0" applyFont="1" applyFill="1" applyBorder="1" applyAlignment="1">
      <alignment vertical="center"/>
    </xf>
    <xf numFmtId="0" fontId="48" fillId="2" borderId="0" xfId="0" applyFont="1" applyFill="1" applyBorder="1" applyAlignment="1">
      <alignment vertical="top" wrapText="1"/>
    </xf>
    <xf numFmtId="0" fontId="26" fillId="2" borderId="0" xfId="0" applyFont="1" applyFill="1" applyBorder="1"/>
    <xf numFmtId="0" fontId="26" fillId="2" borderId="0" xfId="0" applyFont="1" applyFill="1" applyBorder="1" applyAlignment="1">
      <alignment wrapText="1"/>
    </xf>
    <xf numFmtId="0" fontId="12" fillId="2" borderId="0" xfId="0" applyFont="1" applyFill="1" applyBorder="1" applyAlignment="1">
      <alignment horizontal="left"/>
    </xf>
    <xf numFmtId="0" fontId="12" fillId="2" borderId="0" xfId="0" applyFont="1" applyFill="1" applyBorder="1"/>
    <xf numFmtId="0" fontId="2" fillId="0" borderId="0" xfId="0" applyFont="1" applyBorder="1"/>
    <xf numFmtId="0" fontId="32" fillId="0" borderId="27" xfId="0" applyFont="1" applyFill="1" applyBorder="1" applyAlignment="1">
      <alignment vertical="top" wrapText="1"/>
    </xf>
    <xf numFmtId="0" fontId="32" fillId="0" borderId="29" xfId="0" applyFont="1" applyFill="1" applyBorder="1" applyAlignment="1">
      <alignment vertical="top" wrapText="1"/>
    </xf>
    <xf numFmtId="0" fontId="32" fillId="0" borderId="26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0" fontId="0" fillId="0" borderId="0" xfId="0" applyBorder="1" applyAlignment="1">
      <alignment horizontal="center"/>
    </xf>
    <xf numFmtId="0" fontId="24" fillId="0" borderId="0" xfId="0" applyFont="1" applyFill="1" applyBorder="1" applyAlignment="1">
      <alignment horizontal="center" vertical="center" wrapText="1"/>
    </xf>
    <xf numFmtId="165" fontId="55" fillId="2" borderId="1" xfId="1" applyNumberFormat="1" applyFont="1" applyFill="1" applyBorder="1" applyAlignment="1">
      <alignment vertical="center"/>
    </xf>
    <xf numFmtId="42" fontId="56" fillId="0" borderId="1" xfId="3" applyFont="1" applyBorder="1" applyAlignment="1">
      <alignment horizontal="center"/>
    </xf>
    <xf numFmtId="166" fontId="56" fillId="0" borderId="1" xfId="0" applyNumberFormat="1" applyFont="1" applyBorder="1" applyAlignment="1">
      <alignment horizontal="center"/>
    </xf>
    <xf numFmtId="0" fontId="31" fillId="2" borderId="17" xfId="0" applyFont="1" applyFill="1" applyBorder="1" applyAlignment="1">
      <alignment horizontal="center" vertical="top" wrapText="1"/>
    </xf>
    <xf numFmtId="0" fontId="36" fillId="2" borderId="17" xfId="0" applyFont="1" applyFill="1" applyBorder="1" applyAlignment="1">
      <alignment horizontal="center"/>
    </xf>
    <xf numFmtId="0" fontId="36" fillId="2" borderId="20" xfId="0" applyFont="1" applyFill="1" applyBorder="1" applyAlignment="1">
      <alignment horizontal="center"/>
    </xf>
    <xf numFmtId="0" fontId="33" fillId="0" borderId="46" xfId="0" applyFont="1" applyFill="1" applyBorder="1" applyAlignment="1">
      <alignment vertical="top" wrapText="1"/>
    </xf>
    <xf numFmtId="0" fontId="37" fillId="0" borderId="1" xfId="0" applyFont="1" applyBorder="1" applyAlignment="1">
      <alignment horizontal="center"/>
    </xf>
    <xf numFmtId="0" fontId="54" fillId="0" borderId="18" xfId="0" applyFont="1" applyFill="1" applyBorder="1" applyAlignment="1">
      <alignment vertical="top" wrapText="1"/>
    </xf>
    <xf numFmtId="0" fontId="33" fillId="0" borderId="13" xfId="0" applyFont="1" applyFill="1" applyBorder="1" applyAlignment="1">
      <alignment vertical="top" wrapText="1"/>
    </xf>
    <xf numFmtId="0" fontId="54" fillId="0" borderId="16" xfId="0" applyFont="1" applyFill="1" applyBorder="1" applyAlignment="1">
      <alignment vertical="top" wrapText="1"/>
    </xf>
    <xf numFmtId="166" fontId="56" fillId="0" borderId="17" xfId="0" applyNumberFormat="1" applyFont="1" applyBorder="1" applyAlignment="1">
      <alignment horizontal="center"/>
    </xf>
    <xf numFmtId="166" fontId="56" fillId="10" borderId="20" xfId="0" applyNumberFormat="1" applyFont="1" applyFill="1" applyBorder="1" applyAlignment="1">
      <alignment horizontal="center"/>
    </xf>
    <xf numFmtId="0" fontId="57" fillId="2" borderId="4" xfId="0" applyFont="1" applyFill="1" applyBorder="1" applyProtection="1"/>
    <xf numFmtId="0" fontId="24" fillId="0" borderId="25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9" fillId="4" borderId="50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0" fontId="2" fillId="2" borderId="5" xfId="0" applyFont="1" applyFill="1" applyBorder="1" applyAlignment="1" applyProtection="1">
      <alignment horizontal="left"/>
    </xf>
    <xf numFmtId="0" fontId="8" fillId="0" borderId="23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5" fillId="3" borderId="40" xfId="0" applyFont="1" applyFill="1" applyBorder="1" applyAlignment="1" applyProtection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top" wrapText="1"/>
    </xf>
    <xf numFmtId="0" fontId="14" fillId="3" borderId="4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9" fillId="2" borderId="0" xfId="0" applyFont="1" applyFill="1" applyBorder="1" applyAlignment="1">
      <alignment horizontal="center" vertical="center" wrapText="1"/>
    </xf>
    <xf numFmtId="0" fontId="49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14" fillId="3" borderId="10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43" fillId="2" borderId="33" xfId="0" applyFont="1" applyFill="1" applyBorder="1" applyAlignment="1" applyProtection="1">
      <alignment vertical="center" wrapText="1"/>
    </xf>
    <xf numFmtId="0" fontId="43" fillId="2" borderId="36" xfId="0" applyFont="1" applyFill="1" applyBorder="1" applyAlignment="1" applyProtection="1">
      <alignment vertical="center" wrapText="1"/>
    </xf>
    <xf numFmtId="0" fontId="43" fillId="2" borderId="30" xfId="0" applyFont="1" applyFill="1" applyBorder="1" applyAlignment="1" applyProtection="1">
      <alignment vertical="center" wrapText="1"/>
    </xf>
    <xf numFmtId="0" fontId="2" fillId="0" borderId="17" xfId="0" applyFont="1" applyBorder="1" applyAlignment="1" applyProtection="1">
      <alignment horizontal="center" vertical="center"/>
    </xf>
    <xf numFmtId="0" fontId="2" fillId="2" borderId="48" xfId="0" applyFont="1" applyFill="1" applyBorder="1" applyAlignment="1" applyProtection="1">
      <alignment horizontal="center" vertical="center" wrapText="1"/>
    </xf>
    <xf numFmtId="1" fontId="8" fillId="2" borderId="20" xfId="0" applyNumberFormat="1" applyFont="1" applyFill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57" xfId="0" applyFont="1" applyBorder="1" applyAlignment="1" applyProtection="1">
      <alignment horizontal="center" vertical="center" wrapText="1"/>
    </xf>
    <xf numFmtId="0" fontId="35" fillId="0" borderId="1" xfId="0" applyFont="1" applyBorder="1" applyAlignment="1" applyProtection="1">
      <alignment vertical="center" wrapText="1"/>
    </xf>
    <xf numFmtId="0" fontId="24" fillId="4" borderId="13" xfId="0" applyFont="1" applyFill="1" applyBorder="1" applyAlignment="1" applyProtection="1">
      <alignment horizontal="center" vertical="center" wrapText="1"/>
    </xf>
    <xf numFmtId="0" fontId="38" fillId="2" borderId="33" xfId="0" applyFont="1" applyFill="1" applyBorder="1" applyAlignment="1" applyProtection="1">
      <alignment vertical="center" wrapText="1"/>
    </xf>
    <xf numFmtId="0" fontId="38" fillId="2" borderId="37" xfId="0" applyFont="1" applyFill="1" applyBorder="1" applyAlignment="1" applyProtection="1">
      <alignment vertical="center" wrapText="1"/>
    </xf>
    <xf numFmtId="0" fontId="38" fillId="2" borderId="36" xfId="0" applyFont="1" applyFill="1" applyBorder="1" applyAlignment="1" applyProtection="1">
      <alignment vertical="center" wrapText="1"/>
    </xf>
    <xf numFmtId="0" fontId="8" fillId="0" borderId="17" xfId="0" applyFont="1" applyBorder="1" applyAlignment="1" applyProtection="1">
      <alignment horizontal="center" vertical="center"/>
    </xf>
    <xf numFmtId="0" fontId="8" fillId="2" borderId="48" xfId="0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/>
    </xf>
    <xf numFmtId="0" fontId="54" fillId="0" borderId="17" xfId="0" applyFont="1" applyBorder="1" applyAlignment="1">
      <alignment horizontal="center" vertical="center"/>
    </xf>
    <xf numFmtId="1" fontId="54" fillId="2" borderId="1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4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2" borderId="0" xfId="0" applyFont="1" applyFill="1" applyBorder="1" applyProtection="1">
      <protection locked="0"/>
    </xf>
    <xf numFmtId="0" fontId="2" fillId="0" borderId="4" xfId="0" applyFont="1" applyBorder="1"/>
    <xf numFmtId="0" fontId="47" fillId="2" borderId="5" xfId="0" applyFont="1" applyFill="1" applyBorder="1" applyAlignment="1">
      <alignment horizontal="center" vertical="center" wrapText="1"/>
    </xf>
    <xf numFmtId="1" fontId="54" fillId="0" borderId="17" xfId="0" applyNumberFormat="1" applyFont="1" applyBorder="1" applyAlignment="1">
      <alignment horizontal="center"/>
    </xf>
    <xf numFmtId="0" fontId="54" fillId="0" borderId="17" xfId="0" applyFont="1" applyBorder="1" applyAlignment="1">
      <alignment horizontal="center" vertical="center" wrapText="1"/>
    </xf>
    <xf numFmtId="0" fontId="54" fillId="0" borderId="19" xfId="0" applyFont="1" applyBorder="1" applyAlignment="1">
      <alignment horizontal="left" vertical="center" wrapText="1"/>
    </xf>
    <xf numFmtId="0" fontId="54" fillId="0" borderId="19" xfId="0" applyFont="1" applyBorder="1" applyAlignment="1">
      <alignment horizontal="center" vertical="center" wrapText="1"/>
    </xf>
    <xf numFmtId="0" fontId="54" fillId="0" borderId="19" xfId="0" applyFont="1" applyBorder="1" applyAlignment="1">
      <alignment horizontal="center" vertical="center"/>
    </xf>
    <xf numFmtId="1" fontId="47" fillId="2" borderId="19" xfId="0" applyNumberFormat="1" applyFont="1" applyFill="1" applyBorder="1" applyAlignment="1">
      <alignment horizontal="center" vertical="center"/>
    </xf>
    <xf numFmtId="0" fontId="54" fillId="0" borderId="20" xfId="0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 wrapText="1"/>
    </xf>
    <xf numFmtId="0" fontId="54" fillId="0" borderId="18" xfId="0" applyFont="1" applyBorder="1" applyAlignment="1">
      <alignment horizontal="center" vertical="center" wrapText="1"/>
    </xf>
    <xf numFmtId="1" fontId="47" fillId="0" borderId="19" xfId="0" applyNumberFormat="1" applyFont="1" applyBorder="1" applyAlignment="1">
      <alignment horizontal="center"/>
    </xf>
    <xf numFmtId="0" fontId="54" fillId="2" borderId="20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 applyProtection="1">
      <alignment horizontal="left" vertical="center" wrapText="1"/>
    </xf>
    <xf numFmtId="1" fontId="54" fillId="2" borderId="19" xfId="0" applyNumberFormat="1" applyFont="1" applyFill="1" applyBorder="1" applyAlignment="1">
      <alignment horizontal="center"/>
    </xf>
    <xf numFmtId="1" fontId="54" fillId="2" borderId="20" xfId="0" applyNumberFormat="1" applyFont="1" applyFill="1" applyBorder="1" applyAlignment="1">
      <alignment horizontal="center"/>
    </xf>
    <xf numFmtId="1" fontId="54" fillId="2" borderId="19" xfId="0" applyNumberFormat="1" applyFont="1" applyFill="1" applyBorder="1" applyAlignment="1">
      <alignment horizontal="center" vertical="center"/>
    </xf>
    <xf numFmtId="0" fontId="54" fillId="0" borderId="18" xfId="0" applyFont="1" applyBorder="1" applyAlignment="1">
      <alignment horizontal="center" vertical="top" wrapText="1"/>
    </xf>
    <xf numFmtId="0" fontId="46" fillId="0" borderId="30" xfId="0" applyFont="1" applyBorder="1" applyAlignment="1">
      <alignment vertical="center" wrapText="1"/>
    </xf>
    <xf numFmtId="0" fontId="46" fillId="0" borderId="33" xfId="0" applyFont="1" applyBorder="1" applyAlignment="1">
      <alignment vertical="center" wrapText="1"/>
    </xf>
    <xf numFmtId="0" fontId="46" fillId="0" borderId="36" xfId="0" applyFont="1" applyBorder="1" applyAlignment="1">
      <alignment vertical="center" wrapText="1"/>
    </xf>
    <xf numFmtId="1" fontId="24" fillId="0" borderId="17" xfId="0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1" fontId="24" fillId="2" borderId="65" xfId="0" applyNumberFormat="1" applyFont="1" applyFill="1" applyBorder="1" applyAlignment="1">
      <alignment horizontal="center"/>
    </xf>
    <xf numFmtId="0" fontId="26" fillId="0" borderId="17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1" fontId="39" fillId="2" borderId="19" xfId="0" applyNumberFormat="1" applyFont="1" applyFill="1" applyBorder="1" applyAlignment="1">
      <alignment horizontal="center" vertical="center"/>
    </xf>
    <xf numFmtId="165" fontId="26" fillId="2" borderId="20" xfId="0" applyNumberFormat="1" applyFont="1" applyFill="1" applyBorder="1" applyAlignment="1">
      <alignment horizontal="center"/>
    </xf>
    <xf numFmtId="1" fontId="24" fillId="0" borderId="19" xfId="0" applyNumberFormat="1" applyFont="1" applyBorder="1" applyAlignment="1">
      <alignment horizontal="center"/>
    </xf>
    <xf numFmtId="0" fontId="24" fillId="2" borderId="48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14" fillId="3" borderId="19" xfId="0" applyFont="1" applyFill="1" applyBorder="1" applyAlignment="1" applyProtection="1">
      <alignment horizontal="left" vertical="center" wrapText="1"/>
    </xf>
    <xf numFmtId="1" fontId="24" fillId="2" borderId="19" xfId="0" applyNumberFormat="1" applyFont="1" applyFill="1" applyBorder="1" applyAlignment="1">
      <alignment horizontal="center"/>
    </xf>
    <xf numFmtId="1" fontId="24" fillId="2" borderId="20" xfId="0" applyNumberFormat="1" applyFont="1" applyFill="1" applyBorder="1" applyAlignment="1">
      <alignment horizontal="center"/>
    </xf>
    <xf numFmtId="0" fontId="0" fillId="14" borderId="13" xfId="0" applyFill="1" applyBorder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0" fillId="14" borderId="18" xfId="0" applyFill="1" applyBorder="1" applyAlignment="1">
      <alignment horizontal="center" vertical="center"/>
    </xf>
    <xf numFmtId="0" fontId="0" fillId="14" borderId="37" xfId="0" quotePrefix="1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/>
    </xf>
    <xf numFmtId="0" fontId="0" fillId="14" borderId="38" xfId="0" applyFill="1" applyBorder="1" applyAlignment="1">
      <alignment horizontal="center" vertical="center"/>
    </xf>
    <xf numFmtId="0" fontId="0" fillId="13" borderId="13" xfId="0" applyFill="1" applyBorder="1" applyAlignment="1">
      <alignment horizontal="center" vertical="center" wrapText="1"/>
    </xf>
    <xf numFmtId="0" fontId="0" fillId="13" borderId="16" xfId="0" applyFill="1" applyBorder="1" applyAlignment="1">
      <alignment horizontal="center" vertical="center"/>
    </xf>
    <xf numFmtId="0" fontId="0" fillId="13" borderId="18" xfId="0" applyFill="1" applyBorder="1" applyAlignment="1">
      <alignment horizontal="center" vertical="center"/>
    </xf>
    <xf numFmtId="0" fontId="0" fillId="13" borderId="37" xfId="0" quotePrefix="1" applyFill="1" applyBorder="1" applyAlignment="1">
      <alignment horizontal="center" vertical="center"/>
    </xf>
    <xf numFmtId="0" fontId="0" fillId="13" borderId="25" xfId="0" applyFill="1" applyBorder="1" applyAlignment="1">
      <alignment horizontal="center" vertical="center"/>
    </xf>
    <xf numFmtId="0" fontId="0" fillId="13" borderId="38" xfId="0" applyFill="1" applyBorder="1" applyAlignment="1">
      <alignment horizontal="center" vertical="center"/>
    </xf>
    <xf numFmtId="0" fontId="0" fillId="13" borderId="13" xfId="0" applyFill="1" applyBorder="1" applyAlignment="1">
      <alignment horizontal="center" vertical="center"/>
    </xf>
    <xf numFmtId="0" fontId="27" fillId="12" borderId="13" xfId="0" applyFont="1" applyFill="1" applyBorder="1" applyAlignment="1">
      <alignment horizontal="center" vertical="center"/>
    </xf>
    <xf numFmtId="0" fontId="27" fillId="12" borderId="18" xfId="0" applyFont="1" applyFill="1" applyBorder="1" applyAlignment="1">
      <alignment horizontal="center" vertical="center"/>
    </xf>
    <xf numFmtId="0" fontId="27" fillId="12" borderId="37" xfId="0" applyFont="1" applyFill="1" applyBorder="1" applyAlignment="1">
      <alignment horizontal="center" vertical="center"/>
    </xf>
    <xf numFmtId="0" fontId="27" fillId="12" borderId="38" xfId="0" applyFont="1" applyFill="1" applyBorder="1" applyAlignment="1">
      <alignment horizontal="center" vertical="center"/>
    </xf>
    <xf numFmtId="0" fontId="27" fillId="12" borderId="13" xfId="0" applyFont="1" applyFill="1" applyBorder="1" applyAlignment="1">
      <alignment horizontal="center"/>
    </xf>
    <xf numFmtId="0" fontId="27" fillId="12" borderId="14" xfId="0" applyFont="1" applyFill="1" applyBorder="1" applyAlignment="1">
      <alignment horizontal="center"/>
    </xf>
    <xf numFmtId="0" fontId="27" fillId="12" borderId="15" xfId="0" applyFont="1" applyFill="1" applyBorder="1" applyAlignment="1">
      <alignment horizontal="center"/>
    </xf>
    <xf numFmtId="0" fontId="4" fillId="0" borderId="52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20" fillId="3" borderId="25" xfId="0" applyFont="1" applyFill="1" applyBorder="1" applyAlignment="1" applyProtection="1">
      <alignment horizontal="left" vertical="top" wrapText="1"/>
    </xf>
    <xf numFmtId="0" fontId="20" fillId="3" borderId="49" xfId="0" applyFont="1" applyFill="1" applyBorder="1" applyAlignment="1" applyProtection="1">
      <alignment horizontal="left" vertical="top" wrapText="1"/>
    </xf>
    <xf numFmtId="0" fontId="20" fillId="3" borderId="27" xfId="0" applyFont="1" applyFill="1" applyBorder="1" applyAlignment="1" applyProtection="1">
      <alignment horizontal="left" vertical="top" wrapText="1"/>
    </xf>
    <xf numFmtId="0" fontId="20" fillId="8" borderId="25" xfId="0" applyFont="1" applyFill="1" applyBorder="1" applyAlignment="1">
      <alignment horizontal="left" vertical="center" wrapText="1"/>
    </xf>
    <xf numFmtId="0" fontId="20" fillId="8" borderId="49" xfId="0" applyFont="1" applyFill="1" applyBorder="1" applyAlignment="1">
      <alignment horizontal="left" vertical="center" wrapText="1"/>
    </xf>
    <xf numFmtId="0" fontId="20" fillId="8" borderId="27" xfId="0" applyFont="1" applyFill="1" applyBorder="1" applyAlignment="1">
      <alignment horizontal="left" vertical="center" wrapText="1"/>
    </xf>
    <xf numFmtId="0" fontId="33" fillId="0" borderId="35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  <xf numFmtId="0" fontId="33" fillId="0" borderId="7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49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top" wrapText="1"/>
    </xf>
    <xf numFmtId="0" fontId="25" fillId="8" borderId="25" xfId="0" applyFont="1" applyFill="1" applyBorder="1" applyAlignment="1">
      <alignment horizontal="left" vertical="top" wrapText="1"/>
    </xf>
    <xf numFmtId="0" fontId="25" fillId="8" borderId="49" xfId="0" applyFont="1" applyFill="1" applyBorder="1" applyAlignment="1">
      <alignment horizontal="left" vertical="top" wrapText="1"/>
    </xf>
    <xf numFmtId="0" fontId="25" fillId="8" borderId="27" xfId="0" applyFont="1" applyFill="1" applyBorder="1" applyAlignment="1">
      <alignment horizontal="left" vertical="top" wrapText="1"/>
    </xf>
    <xf numFmtId="0" fontId="20" fillId="9" borderId="25" xfId="0" applyFont="1" applyFill="1" applyBorder="1" applyAlignment="1">
      <alignment horizontal="left" vertical="center" wrapText="1"/>
    </xf>
    <xf numFmtId="0" fontId="20" fillId="9" borderId="49" xfId="0" applyFont="1" applyFill="1" applyBorder="1" applyAlignment="1">
      <alignment horizontal="left" vertical="center" wrapText="1"/>
    </xf>
    <xf numFmtId="0" fontId="20" fillId="9" borderId="27" xfId="0" applyFont="1" applyFill="1" applyBorder="1" applyAlignment="1">
      <alignment horizontal="left" vertical="center" wrapText="1"/>
    </xf>
    <xf numFmtId="0" fontId="25" fillId="6" borderId="25" xfId="0" applyFont="1" applyFill="1" applyBorder="1" applyAlignment="1">
      <alignment horizontal="left" vertical="top" wrapText="1"/>
    </xf>
    <xf numFmtId="0" fontId="25" fillId="6" borderId="49" xfId="0" applyFont="1" applyFill="1" applyBorder="1" applyAlignment="1">
      <alignment horizontal="left" vertical="top" wrapText="1"/>
    </xf>
    <xf numFmtId="0" fontId="25" fillId="6" borderId="27" xfId="0" applyFont="1" applyFill="1" applyBorder="1" applyAlignment="1">
      <alignment horizontal="left" vertical="top" wrapText="1"/>
    </xf>
    <xf numFmtId="0" fontId="20" fillId="6" borderId="25" xfId="0" applyFont="1" applyFill="1" applyBorder="1" applyAlignment="1">
      <alignment horizontal="left" vertical="top" wrapText="1"/>
    </xf>
    <xf numFmtId="0" fontId="20" fillId="6" borderId="49" xfId="0" applyFont="1" applyFill="1" applyBorder="1" applyAlignment="1">
      <alignment horizontal="left" vertical="top" wrapText="1"/>
    </xf>
    <xf numFmtId="0" fontId="20" fillId="6" borderId="27" xfId="0" applyFont="1" applyFill="1" applyBorder="1" applyAlignment="1">
      <alignment horizontal="left" vertical="top" wrapText="1"/>
    </xf>
    <xf numFmtId="0" fontId="43" fillId="2" borderId="37" xfId="0" applyFont="1" applyFill="1" applyBorder="1" applyAlignment="1" applyProtection="1">
      <alignment horizontal="left" vertical="center" wrapText="1"/>
    </xf>
    <xf numFmtId="0" fontId="43" fillId="2" borderId="33" xfId="0" applyFont="1" applyFill="1" applyBorder="1" applyAlignment="1" applyProtection="1">
      <alignment horizontal="left" vertical="center" wrapText="1"/>
    </xf>
    <xf numFmtId="0" fontId="43" fillId="2" borderId="36" xfId="0" applyFont="1" applyFill="1" applyBorder="1" applyAlignment="1" applyProtection="1">
      <alignment horizontal="left" vertical="center" wrapText="1"/>
    </xf>
    <xf numFmtId="0" fontId="41" fillId="3" borderId="10" xfId="0" applyFont="1" applyFill="1" applyBorder="1" applyAlignment="1" applyProtection="1">
      <alignment horizontal="center" vertical="center"/>
    </xf>
    <xf numFmtId="0" fontId="41" fillId="3" borderId="11" xfId="0" applyFont="1" applyFill="1" applyBorder="1" applyAlignment="1" applyProtection="1">
      <alignment horizontal="center" vertical="center"/>
    </xf>
    <xf numFmtId="0" fontId="41" fillId="3" borderId="12" xfId="0" applyFont="1" applyFill="1" applyBorder="1" applyAlignment="1" applyProtection="1">
      <alignment horizontal="center" vertical="center"/>
    </xf>
    <xf numFmtId="0" fontId="42" fillId="2" borderId="30" xfId="0" applyFont="1" applyFill="1" applyBorder="1" applyAlignment="1" applyProtection="1">
      <alignment horizontal="left" vertical="center" wrapText="1"/>
    </xf>
    <xf numFmtId="0" fontId="42" fillId="2" borderId="33" xfId="0" applyFont="1" applyFill="1" applyBorder="1" applyAlignment="1" applyProtection="1">
      <alignment horizontal="left" vertical="center" wrapText="1"/>
    </xf>
    <xf numFmtId="0" fontId="42" fillId="2" borderId="36" xfId="0" applyFont="1" applyFill="1" applyBorder="1" applyAlignment="1" applyProtection="1">
      <alignment horizontal="left" vertical="center" wrapText="1"/>
    </xf>
    <xf numFmtId="0" fontId="35" fillId="2" borderId="6" xfId="0" applyFont="1" applyFill="1" applyBorder="1" applyAlignment="1" applyProtection="1">
      <alignment horizontal="left" vertical="top" wrapText="1"/>
      <protection locked="0"/>
    </xf>
    <xf numFmtId="0" fontId="35" fillId="2" borderId="3" xfId="0" applyFont="1" applyFill="1" applyBorder="1" applyAlignment="1" applyProtection="1">
      <alignment horizontal="left" vertical="top" wrapText="1"/>
      <protection locked="0"/>
    </xf>
    <xf numFmtId="0" fontId="35" fillId="2" borderId="7" xfId="0" applyFont="1" applyFill="1" applyBorder="1" applyAlignment="1" applyProtection="1">
      <alignment horizontal="left" vertical="top" wrapText="1"/>
      <protection locked="0"/>
    </xf>
    <xf numFmtId="0" fontId="43" fillId="2" borderId="30" xfId="0" applyFont="1" applyFill="1" applyBorder="1" applyAlignment="1" applyProtection="1">
      <alignment horizontal="left" vertical="center" wrapText="1"/>
    </xf>
    <xf numFmtId="0" fontId="35" fillId="2" borderId="4" xfId="0" applyFont="1" applyFill="1" applyBorder="1" applyAlignment="1" applyProtection="1">
      <alignment horizontal="left" vertical="top" wrapText="1"/>
      <protection locked="0"/>
    </xf>
    <xf numFmtId="0" fontId="35" fillId="2" borderId="0" xfId="0" applyFont="1" applyFill="1" applyBorder="1" applyAlignment="1" applyProtection="1">
      <alignment horizontal="left" vertical="top" wrapText="1"/>
      <protection locked="0"/>
    </xf>
    <xf numFmtId="0" fontId="35" fillId="2" borderId="5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 wrapText="1"/>
    </xf>
    <xf numFmtId="0" fontId="25" fillId="3" borderId="23" xfId="0" applyFont="1" applyFill="1" applyBorder="1" applyAlignment="1" applyProtection="1">
      <alignment horizontal="center" vertical="center" wrapText="1"/>
      <protection locked="0"/>
    </xf>
    <xf numFmtId="0" fontId="25" fillId="3" borderId="47" xfId="0" applyFont="1" applyFill="1" applyBorder="1" applyAlignment="1" applyProtection="1">
      <alignment horizontal="center" vertical="center" wrapText="1"/>
      <protection locked="0"/>
    </xf>
    <xf numFmtId="1" fontId="2" fillId="2" borderId="57" xfId="0" applyNumberFormat="1" applyFont="1" applyFill="1" applyBorder="1" applyAlignment="1" applyProtection="1">
      <alignment horizontal="center" vertical="center"/>
    </xf>
    <xf numFmtId="1" fontId="2" fillId="2" borderId="45" xfId="0" applyNumberFormat="1" applyFont="1" applyFill="1" applyBorder="1" applyAlignment="1" applyProtection="1">
      <alignment horizontal="center" vertical="center"/>
    </xf>
    <xf numFmtId="1" fontId="2" fillId="2" borderId="23" xfId="0" applyNumberFormat="1" applyFont="1" applyFill="1" applyBorder="1" applyAlignment="1" applyProtection="1">
      <alignment horizontal="center" vertical="center"/>
    </xf>
    <xf numFmtId="1" fontId="2" fillId="2" borderId="21" xfId="0" applyNumberFormat="1" applyFont="1" applyFill="1" applyBorder="1" applyAlignment="1" applyProtection="1">
      <alignment horizontal="center" vertical="center"/>
    </xf>
    <xf numFmtId="0" fontId="54" fillId="2" borderId="6" xfId="0" applyFont="1" applyFill="1" applyBorder="1" applyAlignment="1" applyProtection="1">
      <alignment horizontal="left" vertical="top" wrapText="1"/>
      <protection locked="0"/>
    </xf>
    <xf numFmtId="0" fontId="54" fillId="2" borderId="3" xfId="0" applyFont="1" applyFill="1" applyBorder="1" applyAlignment="1" applyProtection="1">
      <alignment horizontal="left" vertical="top" wrapText="1"/>
      <protection locked="0"/>
    </xf>
    <xf numFmtId="0" fontId="54" fillId="2" borderId="7" xfId="0" applyFont="1" applyFill="1" applyBorder="1" applyAlignment="1" applyProtection="1">
      <alignment horizontal="left" vertical="top" wrapText="1"/>
      <protection locked="0"/>
    </xf>
    <xf numFmtId="0" fontId="54" fillId="2" borderId="4" xfId="0" applyFont="1" applyFill="1" applyBorder="1" applyAlignment="1" applyProtection="1">
      <alignment horizontal="left" vertical="top" wrapText="1"/>
      <protection locked="0"/>
    </xf>
    <xf numFmtId="0" fontId="54" fillId="2" borderId="0" xfId="0" applyFont="1" applyFill="1" applyBorder="1" applyAlignment="1" applyProtection="1">
      <alignment horizontal="left" vertical="top" wrapText="1"/>
      <protection locked="0"/>
    </xf>
    <xf numFmtId="0" fontId="54" fillId="2" borderId="5" xfId="0" applyFont="1" applyFill="1" applyBorder="1" applyAlignment="1" applyProtection="1">
      <alignment horizontal="left" vertical="top" wrapText="1"/>
      <protection locked="0"/>
    </xf>
    <xf numFmtId="0" fontId="25" fillId="3" borderId="1" xfId="0" applyFont="1" applyFill="1" applyBorder="1" applyAlignment="1" applyProtection="1">
      <alignment horizontal="center" vertical="center"/>
      <protection locked="0"/>
    </xf>
    <xf numFmtId="0" fontId="25" fillId="3" borderId="19" xfId="0" applyFont="1" applyFill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 applyProtection="1">
      <alignment horizontal="center" vertical="center" wrapText="1"/>
    </xf>
    <xf numFmtId="0" fontId="9" fillId="4" borderId="5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8" fillId="3" borderId="19" xfId="0" applyFont="1" applyFill="1" applyBorder="1" applyAlignment="1" applyProtection="1">
      <alignment horizontal="center" vertical="center" wrapText="1"/>
      <protection locked="0"/>
    </xf>
    <xf numFmtId="0" fontId="28" fillId="3" borderId="20" xfId="0" applyFont="1" applyFill="1" applyBorder="1" applyAlignment="1" applyProtection="1">
      <alignment horizontal="center" vertical="center" wrapText="1"/>
      <protection locked="0"/>
    </xf>
    <xf numFmtId="0" fontId="28" fillId="3" borderId="14" xfId="0" applyFont="1" applyFill="1" applyBorder="1" applyAlignment="1" applyProtection="1">
      <alignment horizontal="center" vertical="center" wrapText="1"/>
      <protection locked="0"/>
    </xf>
    <xf numFmtId="0" fontId="28" fillId="3" borderId="15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2" fillId="2" borderId="5" xfId="0" applyFont="1" applyFill="1" applyBorder="1" applyAlignment="1" applyProtection="1">
      <alignment horizontal="left" vertical="top" wrapText="1"/>
    </xf>
    <xf numFmtId="0" fontId="2" fillId="2" borderId="4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0" fontId="2" fillId="2" borderId="5" xfId="0" applyFont="1" applyFill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35" fillId="2" borderId="55" xfId="0" applyFont="1" applyFill="1" applyBorder="1" applyAlignment="1" applyProtection="1">
      <alignment horizontal="left" vertical="top" wrapText="1"/>
      <protection locked="0"/>
    </xf>
    <xf numFmtId="0" fontId="35" fillId="2" borderId="56" xfId="0" applyFont="1" applyFill="1" applyBorder="1" applyAlignment="1" applyProtection="1">
      <alignment horizontal="left" vertical="top" wrapText="1"/>
      <protection locked="0"/>
    </xf>
    <xf numFmtId="0" fontId="8" fillId="0" borderId="23" xfId="0" applyFont="1" applyBorder="1" applyAlignment="1" applyProtection="1">
      <alignment horizontal="center" vertical="center" wrapText="1"/>
    </xf>
    <xf numFmtId="0" fontId="8" fillId="0" borderId="47" xfId="0" applyFont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center" vertical="center"/>
    </xf>
    <xf numFmtId="0" fontId="8" fillId="0" borderId="47" xfId="0" applyFont="1" applyBorder="1" applyAlignment="1" applyProtection="1">
      <alignment horizontal="center" vertical="center"/>
    </xf>
    <xf numFmtId="0" fontId="14" fillId="3" borderId="23" xfId="0" applyFont="1" applyFill="1" applyBorder="1" applyAlignment="1" applyProtection="1">
      <alignment horizontal="center" vertical="center" wrapText="1"/>
      <protection locked="0"/>
    </xf>
    <xf numFmtId="0" fontId="14" fillId="3" borderId="47" xfId="0" applyFont="1" applyFill="1" applyBorder="1" applyAlignment="1" applyProtection="1">
      <alignment horizontal="center" vertical="center" wrapText="1"/>
      <protection locked="0"/>
    </xf>
    <xf numFmtId="0" fontId="38" fillId="2" borderId="30" xfId="0" applyFont="1" applyFill="1" applyBorder="1" applyAlignment="1" applyProtection="1">
      <alignment horizontal="left" vertical="center" wrapText="1"/>
    </xf>
    <xf numFmtId="0" fontId="38" fillId="2" borderId="33" xfId="0" applyFont="1" applyFill="1" applyBorder="1" applyAlignment="1" applyProtection="1">
      <alignment horizontal="left" vertical="center" wrapText="1"/>
    </xf>
    <xf numFmtId="0" fontId="8" fillId="0" borderId="34" xfId="0" applyFont="1" applyBorder="1" applyAlignment="1" applyProtection="1">
      <alignment horizontal="center" vertical="center" wrapText="1"/>
    </xf>
    <xf numFmtId="0" fontId="8" fillId="0" borderId="46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169" fontId="8" fillId="0" borderId="1" xfId="0" applyNumberFormat="1" applyFont="1" applyBorder="1" applyAlignment="1" applyProtection="1">
      <alignment horizontal="center" vertical="center"/>
    </xf>
    <xf numFmtId="169" fontId="8" fillId="0" borderId="19" xfId="0" applyNumberFormat="1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1" fontId="8" fillId="2" borderId="57" xfId="0" applyNumberFormat="1" applyFont="1" applyFill="1" applyBorder="1" applyAlignment="1" applyProtection="1">
      <alignment horizontal="center" vertical="center"/>
    </xf>
    <xf numFmtId="1" fontId="8" fillId="2" borderId="45" xfId="0" applyNumberFormat="1" applyFont="1" applyFill="1" applyBorder="1" applyAlignment="1" applyProtection="1">
      <alignment horizontal="center" vertical="center"/>
    </xf>
    <xf numFmtId="1" fontId="8" fillId="2" borderId="23" xfId="0" applyNumberFormat="1" applyFont="1" applyFill="1" applyBorder="1" applyAlignment="1" applyProtection="1">
      <alignment horizontal="center" vertical="center"/>
    </xf>
    <xf numFmtId="1" fontId="8" fillId="2" borderId="21" xfId="0" applyNumberFormat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4" fillId="2" borderId="0" xfId="0" applyFont="1" applyFill="1" applyBorder="1" applyAlignment="1">
      <alignment horizontal="center"/>
    </xf>
    <xf numFmtId="0" fontId="25" fillId="3" borderId="40" xfId="0" applyFont="1" applyFill="1" applyBorder="1" applyAlignment="1" applyProtection="1">
      <alignment horizontal="center" vertical="center" wrapText="1"/>
    </xf>
    <xf numFmtId="0" fontId="25" fillId="3" borderId="41" xfId="0" applyFont="1" applyFill="1" applyBorder="1" applyAlignment="1" applyProtection="1">
      <alignment horizontal="center" vertical="center" wrapText="1"/>
    </xf>
    <xf numFmtId="0" fontId="33" fillId="2" borderId="30" xfId="0" applyFont="1" applyFill="1" applyBorder="1" applyAlignment="1">
      <alignment horizontal="left" vertical="center" wrapText="1"/>
    </xf>
    <xf numFmtId="0" fontId="33" fillId="2" borderId="33" xfId="0" applyFont="1" applyFill="1" applyBorder="1" applyAlignment="1">
      <alignment horizontal="left" vertical="center" wrapText="1"/>
    </xf>
    <xf numFmtId="0" fontId="33" fillId="2" borderId="36" xfId="0" applyFont="1" applyFill="1" applyBorder="1" applyAlignment="1">
      <alignment horizontal="left" vertical="center" wrapText="1"/>
    </xf>
    <xf numFmtId="0" fontId="41" fillId="3" borderId="61" xfId="0" applyFont="1" applyFill="1" applyBorder="1" applyAlignment="1" applyProtection="1">
      <alignment horizontal="center" vertical="center" wrapText="1"/>
    </xf>
    <xf numFmtId="0" fontId="41" fillId="3" borderId="62" xfId="0" applyFont="1" applyFill="1" applyBorder="1" applyAlignment="1" applyProtection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167" fontId="47" fillId="2" borderId="1" xfId="0" applyNumberFormat="1" applyFont="1" applyFill="1" applyBorder="1" applyAlignment="1">
      <alignment horizontal="center" vertical="center"/>
    </xf>
    <xf numFmtId="167" fontId="47" fillId="2" borderId="19" xfId="0" applyNumberFormat="1" applyFont="1" applyFill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4" fillId="0" borderId="56" xfId="0" applyFont="1" applyBorder="1" applyAlignment="1">
      <alignment horizontal="center" vertical="center" wrapText="1"/>
    </xf>
    <xf numFmtId="0" fontId="54" fillId="0" borderId="64" xfId="0" applyFont="1" applyBorder="1" applyAlignment="1">
      <alignment horizontal="center" vertical="center" wrapText="1"/>
    </xf>
    <xf numFmtId="0" fontId="54" fillId="0" borderId="66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54" fillId="0" borderId="25" xfId="0" applyFont="1" applyBorder="1" applyAlignment="1">
      <alignment horizontal="center" vertical="center"/>
    </xf>
    <xf numFmtId="0" fontId="54" fillId="0" borderId="27" xfId="0" applyFont="1" applyBorder="1" applyAlignment="1">
      <alignment horizontal="center" vertical="center"/>
    </xf>
    <xf numFmtId="2" fontId="54" fillId="0" borderId="1" xfId="5" applyNumberFormat="1" applyFont="1" applyBorder="1" applyAlignment="1" applyProtection="1">
      <alignment horizontal="center" vertical="center"/>
    </xf>
    <xf numFmtId="2" fontId="54" fillId="0" borderId="19" xfId="5" applyNumberFormat="1" applyFont="1" applyBorder="1" applyAlignment="1" applyProtection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0" fontId="54" fillId="0" borderId="19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left" vertical="top" wrapText="1"/>
    </xf>
    <xf numFmtId="0" fontId="33" fillId="0" borderId="33" xfId="0" applyFont="1" applyBorder="1" applyAlignment="1">
      <alignment horizontal="left" vertical="top" wrapText="1"/>
    </xf>
    <xf numFmtId="0" fontId="33" fillId="0" borderId="36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54" fillId="0" borderId="19" xfId="0" applyFont="1" applyBorder="1" applyAlignment="1">
      <alignment horizontal="center" vertical="top" wrapText="1"/>
    </xf>
    <xf numFmtId="0" fontId="28" fillId="12" borderId="13" xfId="0" applyFont="1" applyFill="1" applyBorder="1" applyAlignment="1">
      <alignment horizontal="center" vertical="center"/>
    </xf>
    <xf numFmtId="0" fontId="28" fillId="12" borderId="14" xfId="0" applyFont="1" applyFill="1" applyBorder="1" applyAlignment="1">
      <alignment horizontal="center" vertical="center"/>
    </xf>
    <xf numFmtId="0" fontId="28" fillId="12" borderId="15" xfId="0" applyFont="1" applyFill="1" applyBorder="1" applyAlignment="1">
      <alignment horizontal="center" vertical="center"/>
    </xf>
    <xf numFmtId="0" fontId="54" fillId="0" borderId="56" xfId="0" applyFont="1" applyBorder="1" applyAlignment="1">
      <alignment horizontal="center" vertical="top" wrapText="1"/>
    </xf>
    <xf numFmtId="0" fontId="54" fillId="0" borderId="64" xfId="0" applyFont="1" applyBorder="1" applyAlignment="1">
      <alignment horizontal="center" vertical="top" wrapText="1"/>
    </xf>
    <xf numFmtId="0" fontId="54" fillId="0" borderId="66" xfId="0" applyFont="1" applyBorder="1" applyAlignment="1">
      <alignment horizontal="center" vertical="top" wrapText="1"/>
    </xf>
    <xf numFmtId="0" fontId="33" fillId="0" borderId="13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  <xf numFmtId="170" fontId="47" fillId="2" borderId="1" xfId="0" applyNumberFormat="1" applyFont="1" applyFill="1" applyBorder="1" applyAlignment="1">
      <alignment horizontal="center" vertical="center"/>
    </xf>
    <xf numFmtId="170" fontId="47" fillId="2" borderId="19" xfId="0" applyNumberFormat="1" applyFont="1" applyFill="1" applyBorder="1" applyAlignment="1">
      <alignment horizontal="center" vertical="center"/>
    </xf>
    <xf numFmtId="0" fontId="53" fillId="3" borderId="10" xfId="0" applyFont="1" applyFill="1" applyBorder="1" applyAlignment="1" applyProtection="1">
      <alignment horizontal="center" vertical="center" wrapText="1"/>
    </xf>
    <xf numFmtId="0" fontId="53" fillId="3" borderId="11" xfId="0" applyFont="1" applyFill="1" applyBorder="1" applyAlignment="1" applyProtection="1">
      <alignment horizontal="center" vertical="center" wrapText="1"/>
    </xf>
    <xf numFmtId="0" fontId="53" fillId="3" borderId="12" xfId="0" applyFont="1" applyFill="1" applyBorder="1" applyAlignment="1" applyProtection="1">
      <alignment horizontal="center" vertical="center" wrapText="1"/>
    </xf>
    <xf numFmtId="0" fontId="33" fillId="0" borderId="30" xfId="0" applyFont="1" applyBorder="1" applyAlignment="1">
      <alignment horizontal="left" vertical="center" wrapText="1"/>
    </xf>
    <xf numFmtId="0" fontId="33" fillId="0" borderId="33" xfId="0" applyFont="1" applyBorder="1" applyAlignment="1">
      <alignment horizontal="left" vertical="center" wrapText="1"/>
    </xf>
    <xf numFmtId="0" fontId="33" fillId="0" borderId="36" xfId="0" applyFont="1" applyBorder="1" applyAlignment="1">
      <alignment horizontal="left" vertical="center" wrapText="1"/>
    </xf>
    <xf numFmtId="0" fontId="54" fillId="0" borderId="4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54" fillId="0" borderId="7" xfId="0" applyFont="1" applyBorder="1" applyAlignment="1">
      <alignment horizontal="center" vertical="center" wrapText="1"/>
    </xf>
    <xf numFmtId="0" fontId="14" fillId="3" borderId="40" xfId="0" applyFont="1" applyFill="1" applyBorder="1" applyAlignment="1" applyProtection="1">
      <alignment horizontal="center" vertical="center" wrapText="1"/>
    </xf>
    <xf numFmtId="0" fontId="14" fillId="3" borderId="41" xfId="0" applyFont="1" applyFill="1" applyBorder="1" applyAlignment="1" applyProtection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49" fillId="2" borderId="0" xfId="0" applyFont="1" applyFill="1" applyBorder="1" applyAlignment="1">
      <alignment horizontal="center" vertical="center" wrapText="1"/>
    </xf>
    <xf numFmtId="0" fontId="49" fillId="2" borderId="5" xfId="0" applyFont="1" applyFill="1" applyBorder="1" applyAlignment="1">
      <alignment horizontal="center" vertical="center" wrapText="1"/>
    </xf>
    <xf numFmtId="0" fontId="41" fillId="3" borderId="63" xfId="0" applyFont="1" applyFill="1" applyBorder="1" applyAlignment="1" applyProtection="1">
      <alignment horizontal="center" vertical="center" wrapText="1"/>
    </xf>
    <xf numFmtId="170" fontId="47" fillId="2" borderId="1" xfId="0" applyNumberFormat="1" applyFont="1" applyFill="1" applyBorder="1" applyAlignment="1">
      <alignment horizontal="center" vertical="center" wrapText="1"/>
    </xf>
    <xf numFmtId="170" fontId="47" fillId="2" borderId="19" xfId="0" applyNumberFormat="1" applyFont="1" applyFill="1" applyBorder="1" applyAlignment="1">
      <alignment horizontal="center" vertical="center" wrapText="1"/>
    </xf>
    <xf numFmtId="0" fontId="54" fillId="0" borderId="34" xfId="0" applyFont="1" applyBorder="1" applyAlignment="1">
      <alignment horizontal="center" vertical="center" wrapText="1"/>
    </xf>
    <xf numFmtId="0" fontId="54" fillId="0" borderId="46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top"/>
    </xf>
    <xf numFmtId="0" fontId="14" fillId="3" borderId="10" xfId="0" applyFont="1" applyFill="1" applyBorder="1" applyAlignment="1" applyProtection="1">
      <alignment horizontal="center" vertical="center" wrapText="1"/>
    </xf>
    <xf numFmtId="0" fontId="14" fillId="3" borderId="11" xfId="0" applyFont="1" applyFill="1" applyBorder="1" applyAlignment="1" applyProtection="1">
      <alignment horizontal="center" vertical="center" wrapText="1"/>
    </xf>
    <xf numFmtId="0" fontId="41" fillId="3" borderId="31" xfId="0" applyFont="1" applyFill="1" applyBorder="1" applyAlignment="1" applyProtection="1">
      <alignment horizontal="center" vertical="center" wrapText="1"/>
    </xf>
    <xf numFmtId="167" fontId="4" fillId="2" borderId="23" xfId="0" applyNumberFormat="1" applyFont="1" applyFill="1" applyBorder="1" applyAlignment="1">
      <alignment horizontal="center" vertical="center"/>
    </xf>
    <xf numFmtId="167" fontId="4" fillId="2" borderId="47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170" fontId="4" fillId="2" borderId="1" xfId="0" applyNumberFormat="1" applyFont="1" applyFill="1" applyBorder="1" applyAlignment="1">
      <alignment horizontal="center" vertical="center" wrapText="1"/>
    </xf>
    <xf numFmtId="170" fontId="4" fillId="2" borderId="19" xfId="0" applyNumberFormat="1" applyFont="1" applyFill="1" applyBorder="1" applyAlignment="1">
      <alignment horizontal="center" vertical="center" wrapText="1"/>
    </xf>
    <xf numFmtId="0" fontId="46" fillId="0" borderId="30" xfId="0" applyFont="1" applyBorder="1" applyAlignment="1">
      <alignment horizontal="left" vertical="center" wrapText="1"/>
    </xf>
    <xf numFmtId="0" fontId="46" fillId="0" borderId="3" xfId="0" applyFont="1" applyBorder="1" applyAlignment="1">
      <alignment horizontal="left" vertical="center" wrapText="1"/>
    </xf>
    <xf numFmtId="0" fontId="46" fillId="0" borderId="33" xfId="0" applyFont="1" applyBorder="1" applyAlignment="1">
      <alignment horizontal="left" vertical="center" wrapText="1"/>
    </xf>
    <xf numFmtId="0" fontId="46" fillId="0" borderId="36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6">
    <cellStyle name="Hipervínculo" xfId="4" builtinId="8"/>
    <cellStyle name="Millares 2" xfId="5" xr:uid="{00000000-0005-0000-0000-000001000000}"/>
    <cellStyle name="Moneda" xfId="1" builtinId="4"/>
    <cellStyle name="Moneda [0]" xfId="3" builtinId="7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22DD19"/>
      <color rgb="FFFFFFFF"/>
      <color rgb="FFFF5353"/>
      <color rgb="FFFF3333"/>
      <color rgb="FFFFFF99"/>
      <color rgb="FFB4DF85"/>
      <color rgb="FFCEEAB0"/>
      <color rgb="FFA7D971"/>
      <color rgb="FFF4F2AC"/>
      <color rgb="FFDC90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0.jpeg"/><Relationship Id="rId3" Type="http://schemas.openxmlformats.org/officeDocument/2006/relationships/image" Target="../media/image3.jpeg"/><Relationship Id="rId7" Type="http://schemas.openxmlformats.org/officeDocument/2006/relationships/image" Target="../media/image6.jpeg"/><Relationship Id="rId12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11" Type="http://schemas.microsoft.com/office/2007/relationships/hdphoto" Target="../media/hdphoto3.wdp"/><Relationship Id="rId5" Type="http://schemas.openxmlformats.org/officeDocument/2006/relationships/image" Target="../media/image4.jpeg"/><Relationship Id="rId15" Type="http://schemas.openxmlformats.org/officeDocument/2006/relationships/image" Target="../media/image12.wmf"/><Relationship Id="rId10" Type="http://schemas.openxmlformats.org/officeDocument/2006/relationships/image" Target="../media/image8.png"/><Relationship Id="rId4" Type="http://schemas.microsoft.com/office/2007/relationships/hdphoto" Target="../media/hdphoto1.wdp"/><Relationship Id="rId9" Type="http://schemas.microsoft.com/office/2007/relationships/hdphoto" Target="../media/hdphoto2.wdp"/><Relationship Id="rId1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13" Type="http://schemas.microsoft.com/office/2007/relationships/hdphoto" Target="../media/hdphoto3.wdp"/><Relationship Id="rId3" Type="http://schemas.openxmlformats.org/officeDocument/2006/relationships/image" Target="../media/image11.png"/><Relationship Id="rId7" Type="http://schemas.openxmlformats.org/officeDocument/2006/relationships/image" Target="../media/image4.jpeg"/><Relationship Id="rId12" Type="http://schemas.openxmlformats.org/officeDocument/2006/relationships/image" Target="../media/image8.png"/><Relationship Id="rId2" Type="http://schemas.openxmlformats.org/officeDocument/2006/relationships/image" Target="../media/image10.jpe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11" Type="http://schemas.microsoft.com/office/2007/relationships/hdphoto" Target="../media/hdphoto2.wdp"/><Relationship Id="rId5" Type="http://schemas.openxmlformats.org/officeDocument/2006/relationships/image" Target="../media/image3.jpeg"/><Relationship Id="rId10" Type="http://schemas.openxmlformats.org/officeDocument/2006/relationships/image" Target="../media/image7.jpeg"/><Relationship Id="rId4" Type="http://schemas.openxmlformats.org/officeDocument/2006/relationships/image" Target="../media/image2.png"/><Relationship Id="rId9" Type="http://schemas.openxmlformats.org/officeDocument/2006/relationships/image" Target="../media/image6.jpeg"/><Relationship Id="rId14" Type="http://schemas.openxmlformats.org/officeDocument/2006/relationships/image" Target="../media/image12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2.png"/><Relationship Id="rId1" Type="http://schemas.openxmlformats.org/officeDocument/2006/relationships/image" Target="../media/image13.pn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5.jpeg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6.pn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79375</xdr:colOff>
      <xdr:row>4</xdr:row>
      <xdr:rowOff>193523</xdr:rowOff>
    </xdr:from>
    <xdr:to>
      <xdr:col>1</xdr:col>
      <xdr:colOff>1254125</xdr:colOff>
      <xdr:row>8</xdr:row>
      <xdr:rowOff>93737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8C929FE-DB3A-44C1-BBF8-B527CB6A4E62}"/>
            </a:ext>
          </a:extLst>
        </xdr:cNvPr>
        <xdr:cNvSpPr txBox="1"/>
      </xdr:nvSpPr>
      <xdr:spPr>
        <a:xfrm>
          <a:off x="269875" y="4638523"/>
          <a:ext cx="1174750" cy="7892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500" b="1">
              <a:latin typeface="Century Gothic" panose="020B0502020202020204" pitchFamily="34" charset="0"/>
            </a:rPr>
            <a:t>HF / RT / IF</a:t>
          </a:r>
          <a:r>
            <a:rPr lang="es-CO" sz="1500" b="1" baseline="0">
              <a:latin typeface="Century Gothic" panose="020B0502020202020204" pitchFamily="34" charset="0"/>
            </a:rPr>
            <a:t> </a:t>
          </a:r>
          <a:endParaRPr lang="es-CO" sz="1500" b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</xdr:col>
      <xdr:colOff>164797</xdr:colOff>
      <xdr:row>0</xdr:row>
      <xdr:rowOff>86176</xdr:rowOff>
    </xdr:from>
    <xdr:to>
      <xdr:col>12</xdr:col>
      <xdr:colOff>1133929</xdr:colOff>
      <xdr:row>1</xdr:row>
      <xdr:rowOff>1188357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6FBC270C-A09F-43A7-99A0-CDB9A0BACD5B}"/>
            </a:ext>
          </a:extLst>
        </xdr:cNvPr>
        <xdr:cNvGrpSpPr/>
      </xdr:nvGrpSpPr>
      <xdr:grpSpPr>
        <a:xfrm>
          <a:off x="361647" y="86176"/>
          <a:ext cx="16748882" cy="2715081"/>
          <a:chOff x="2703284" y="-3891641"/>
          <a:chExt cx="14153382" cy="2629833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D1E1E951-6B13-493A-8536-74227D11CD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703284" y="-3891641"/>
            <a:ext cx="14153382" cy="2629833"/>
          </a:xfrm>
          <a:prstGeom prst="rect">
            <a:avLst/>
          </a:prstGeom>
        </xdr:spPr>
      </xdr:pic>
      <xdr:sp macro="" textlink="">
        <xdr:nvSpPr>
          <xdr:cNvPr id="28" name="Rectángulo 27">
            <a:extLst>
              <a:ext uri="{FF2B5EF4-FFF2-40B4-BE49-F238E27FC236}">
                <a16:creationId xmlns:a16="http://schemas.microsoft.com/office/drawing/2014/main" id="{9C834EFF-0FBA-42C6-BD82-983F08F838F7}"/>
              </a:ext>
            </a:extLst>
          </xdr:cNvPr>
          <xdr:cNvSpPr/>
        </xdr:nvSpPr>
        <xdr:spPr>
          <a:xfrm>
            <a:off x="4906130" y="-3143246"/>
            <a:ext cx="11195655" cy="1481665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es-ES" sz="4000" b="1" cap="none" spc="0">
                <a:ln w="0">
                  <a:solidFill>
                    <a:schemeClr val="bg1">
                      <a:lumMod val="65000"/>
                    </a:schemeClr>
                  </a:solidFill>
                </a:ln>
                <a:solidFill>
                  <a:schemeClr val="bg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Century Gothic" panose="020B0502020202020204" pitchFamily="34" charset="0"/>
              </a:rPr>
              <a:t>SISTEMAS FLOWFRESH TRÁFICO</a:t>
            </a:r>
            <a:r>
              <a:rPr lang="es-ES" sz="4000" b="1" cap="none" spc="0" baseline="0">
                <a:ln w="0">
                  <a:solidFill>
                    <a:schemeClr val="bg1">
                      <a:lumMod val="65000"/>
                    </a:schemeClr>
                  </a:solidFill>
                </a:ln>
                <a:solidFill>
                  <a:schemeClr val="bg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Century Gothic" panose="020B0502020202020204" pitchFamily="34" charset="0"/>
              </a:rPr>
              <a:t> PESADO</a:t>
            </a:r>
            <a:endParaRPr lang="es-ES" sz="4000" b="1" cap="none" spc="0">
              <a:ln w="0">
                <a:solidFill>
                  <a:schemeClr val="bg1">
                    <a:lumMod val="65000"/>
                  </a:schemeClr>
                </a:solidFill>
              </a:ln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endParaRPr>
          </a:p>
          <a:p>
            <a:pPr algn="ctr"/>
            <a:r>
              <a:rPr lang="es-ES" sz="3000" b="0" cap="none" spc="0">
                <a:ln w="0">
                  <a:solidFill>
                    <a:schemeClr val="bg1">
                      <a:lumMod val="65000"/>
                    </a:schemeClr>
                  </a:solidFill>
                </a:ln>
                <a:solidFill>
                  <a:schemeClr val="bg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Century Gothic" panose="020B0502020202020204" pitchFamily="34" charset="0"/>
              </a:rPr>
              <a:t>Linea</a:t>
            </a:r>
            <a:r>
              <a:rPr lang="es-ES" sz="3000" b="0" cap="none" spc="0" baseline="0">
                <a:ln w="0">
                  <a:solidFill>
                    <a:schemeClr val="bg1">
                      <a:lumMod val="65000"/>
                    </a:schemeClr>
                  </a:solidFill>
                </a:ln>
                <a:solidFill>
                  <a:schemeClr val="bg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Century Gothic" panose="020B0502020202020204" pitchFamily="34" charset="0"/>
              </a:rPr>
              <a:t> Uretano Cemento Antimicrobial de FLOWCRETE</a:t>
            </a:r>
            <a:endParaRPr lang="es-ES" sz="3000" b="0" cap="none" spc="0">
              <a:ln w="0">
                <a:solidFill>
                  <a:schemeClr val="bg1">
                    <a:lumMod val="65000"/>
                  </a:schemeClr>
                </a:solidFill>
              </a:ln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endParaRPr>
          </a:p>
        </xdr:txBody>
      </xdr:sp>
    </xdr:grpSp>
    <xdr:clientData/>
  </xdr:twoCellAnchor>
  <xdr:twoCellAnchor editAs="oneCell">
    <xdr:from>
      <xdr:col>1</xdr:col>
      <xdr:colOff>1344686</xdr:colOff>
      <xdr:row>3</xdr:row>
      <xdr:rowOff>188158</xdr:rowOff>
    </xdr:from>
    <xdr:to>
      <xdr:col>5</xdr:col>
      <xdr:colOff>15956</xdr:colOff>
      <xdr:row>8</xdr:row>
      <xdr:rowOff>190499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5085BCF3-DCDD-4DAF-807E-88F5E7C5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257" y="3154515"/>
          <a:ext cx="6424318" cy="1136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142874</xdr:colOff>
      <xdr:row>9</xdr:row>
      <xdr:rowOff>189440</xdr:rowOff>
    </xdr:from>
    <xdr:to>
      <xdr:col>1</xdr:col>
      <xdr:colOff>1059089</xdr:colOff>
      <xdr:row>11</xdr:row>
      <xdr:rowOff>158749</xdr:rowOff>
    </xdr:to>
    <xdr:sp macro="" textlink="">
      <xdr:nvSpPr>
        <xdr:cNvPr id="46" name="CuadroTexto 45">
          <a:extLst>
            <a:ext uri="{FF2B5EF4-FFF2-40B4-BE49-F238E27FC236}">
              <a16:creationId xmlns:a16="http://schemas.microsoft.com/office/drawing/2014/main" id="{A6068845-BBD6-41E8-BA0C-BD970F4DB676}"/>
            </a:ext>
          </a:extLst>
        </xdr:cNvPr>
        <xdr:cNvSpPr txBox="1"/>
      </xdr:nvSpPr>
      <xdr:spPr>
        <a:xfrm>
          <a:off x="333374" y="5745690"/>
          <a:ext cx="916215" cy="4138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500" b="1">
              <a:latin typeface="Century Gothic" panose="020B0502020202020204" pitchFamily="34" charset="0"/>
            </a:rPr>
            <a:t>SR</a:t>
          </a:r>
        </a:p>
      </xdr:txBody>
    </xdr:sp>
    <xdr:clientData/>
  </xdr:twoCellAnchor>
  <xdr:twoCellAnchor>
    <xdr:from>
      <xdr:col>1</xdr:col>
      <xdr:colOff>1275958</xdr:colOff>
      <xdr:row>8</xdr:row>
      <xdr:rowOff>188079</xdr:rowOff>
    </xdr:from>
    <xdr:to>
      <xdr:col>5</xdr:col>
      <xdr:colOff>752929</xdr:colOff>
      <xdr:row>12</xdr:row>
      <xdr:rowOff>72571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FF8B26FC-53B9-434A-94EF-E92222459C69}"/>
            </a:ext>
          </a:extLst>
        </xdr:cNvPr>
        <xdr:cNvGrpSpPr/>
      </xdr:nvGrpSpPr>
      <xdr:grpSpPr>
        <a:xfrm>
          <a:off x="1472808" y="4448929"/>
          <a:ext cx="7217621" cy="773492"/>
          <a:chOff x="3463380" y="5461000"/>
          <a:chExt cx="6869292" cy="589644"/>
        </a:xfrm>
      </xdr:grpSpPr>
      <xdr:pic>
        <xdr:nvPicPr>
          <xdr:cNvPr id="48" name="Picture 2">
            <a:extLst>
              <a:ext uri="{FF2B5EF4-FFF2-40B4-BE49-F238E27FC236}">
                <a16:creationId xmlns:a16="http://schemas.microsoft.com/office/drawing/2014/main" id="{C20157C9-7AA8-4D08-A5B7-018D6FEFB63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aturation sat="66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t="1" r="31029" b="20123"/>
          <a:stretch/>
        </xdr:blipFill>
        <xdr:spPr bwMode="auto">
          <a:xfrm>
            <a:off x="7774215" y="5472535"/>
            <a:ext cx="984936" cy="550894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  <xdr:pic>
        <xdr:nvPicPr>
          <xdr:cNvPr id="49" name="Picture 3">
            <a:extLst>
              <a:ext uri="{FF2B5EF4-FFF2-40B4-BE49-F238E27FC236}">
                <a16:creationId xmlns:a16="http://schemas.microsoft.com/office/drawing/2014/main" id="{E90D2811-9258-4563-9D11-CAB46E801E8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2409" b="18647"/>
          <a:stretch/>
        </xdr:blipFill>
        <xdr:spPr bwMode="auto">
          <a:xfrm>
            <a:off x="6682885" y="5470071"/>
            <a:ext cx="973400" cy="562429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  <xdr:pic>
        <xdr:nvPicPr>
          <xdr:cNvPr id="50" name="Picture 5">
            <a:extLst>
              <a:ext uri="{FF2B5EF4-FFF2-40B4-BE49-F238E27FC236}">
                <a16:creationId xmlns:a16="http://schemas.microsoft.com/office/drawing/2014/main" id="{D675C542-904B-4474-8971-DFA32F3F24C4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0669" b="12630"/>
          <a:stretch/>
        </xdr:blipFill>
        <xdr:spPr bwMode="auto">
          <a:xfrm>
            <a:off x="5572730" y="5468252"/>
            <a:ext cx="985913" cy="573319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  <xdr:pic>
        <xdr:nvPicPr>
          <xdr:cNvPr id="51" name="Picture 8">
            <a:extLst>
              <a:ext uri="{FF2B5EF4-FFF2-40B4-BE49-F238E27FC236}">
                <a16:creationId xmlns:a16="http://schemas.microsoft.com/office/drawing/2014/main" id="{2CB20681-788C-478E-973E-3E776F943AE1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6081"/>
          <a:stretch/>
        </xdr:blipFill>
        <xdr:spPr bwMode="auto">
          <a:xfrm>
            <a:off x="8881846" y="5479143"/>
            <a:ext cx="1450826" cy="526143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  <xdr:pic>
        <xdr:nvPicPr>
          <xdr:cNvPr id="52" name="Picture 9">
            <a:extLst>
              <a:ext uri="{FF2B5EF4-FFF2-40B4-BE49-F238E27FC236}">
                <a16:creationId xmlns:a16="http://schemas.microsoft.com/office/drawing/2014/main" id="{C6C9E225-0FE4-4A1B-A5A8-339C30CCF38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8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colorTemperature colorTemp="72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r="31786" b="3196"/>
          <a:stretch/>
        </xdr:blipFill>
        <xdr:spPr bwMode="auto">
          <a:xfrm>
            <a:off x="4488980" y="5461000"/>
            <a:ext cx="965255" cy="589644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  <xdr:pic>
        <xdr:nvPicPr>
          <xdr:cNvPr id="53" name="47 Imagen">
            <a:extLst>
              <a:ext uri="{FF2B5EF4-FFF2-40B4-BE49-F238E27FC236}">
                <a16:creationId xmlns:a16="http://schemas.microsoft.com/office/drawing/2014/main" id="{64A97294-AB7B-4AB1-9814-E43F8749EC5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BEBA8EAE-BF5A-486C-A8C5-ECC9F3942E4B}">
                <a14:imgProps xmlns:a14="http://schemas.microsoft.com/office/drawing/2010/main">
                  <a14:imgLayer r:embed="rId11">
                    <a14:imgEffect>
                      <a14:saturation sat="3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r="26203" b="3165"/>
          <a:stretch/>
        </xdr:blipFill>
        <xdr:spPr>
          <a:xfrm>
            <a:off x="3463380" y="5468252"/>
            <a:ext cx="945334" cy="582391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</xdr:grpSp>
    <xdr:clientData/>
  </xdr:twoCellAnchor>
  <xdr:twoCellAnchor>
    <xdr:from>
      <xdr:col>1</xdr:col>
      <xdr:colOff>63500</xdr:colOff>
      <xdr:row>14</xdr:row>
      <xdr:rowOff>15875</xdr:rowOff>
    </xdr:from>
    <xdr:to>
      <xdr:col>1</xdr:col>
      <xdr:colOff>1197430</xdr:colOff>
      <xdr:row>15</xdr:row>
      <xdr:rowOff>150436</xdr:rowOff>
    </xdr:to>
    <xdr:sp macro="" textlink="">
      <xdr:nvSpPr>
        <xdr:cNvPr id="54" name="CuadroTexto 53">
          <a:extLst>
            <a:ext uri="{FF2B5EF4-FFF2-40B4-BE49-F238E27FC236}">
              <a16:creationId xmlns:a16="http://schemas.microsoft.com/office/drawing/2014/main" id="{B7BCEAE9-E2FC-4A3A-B8B7-A7C6AEBB1C83}"/>
            </a:ext>
          </a:extLst>
        </xdr:cNvPr>
        <xdr:cNvSpPr txBox="1"/>
      </xdr:nvSpPr>
      <xdr:spPr>
        <a:xfrm>
          <a:off x="254000" y="6683375"/>
          <a:ext cx="1133930" cy="3568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500" b="1">
              <a:latin typeface="Century Gothic" panose="020B0502020202020204" pitchFamily="34" charset="0"/>
            </a:rPr>
            <a:t>SRQ</a:t>
          </a:r>
        </a:p>
      </xdr:txBody>
    </xdr:sp>
    <xdr:clientData/>
  </xdr:twoCellAnchor>
  <xdr:twoCellAnchor>
    <xdr:from>
      <xdr:col>1</xdr:col>
      <xdr:colOff>1297519</xdr:colOff>
      <xdr:row>13</xdr:row>
      <xdr:rowOff>40825</xdr:rowOff>
    </xdr:from>
    <xdr:to>
      <xdr:col>5</xdr:col>
      <xdr:colOff>508000</xdr:colOff>
      <xdr:row>18</xdr:row>
      <xdr:rowOff>99787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B6830896-4CA6-47D3-8115-ED3620C01771}"/>
            </a:ext>
          </a:extLst>
        </xdr:cNvPr>
        <xdr:cNvGrpSpPr/>
      </xdr:nvGrpSpPr>
      <xdr:grpSpPr>
        <a:xfrm>
          <a:off x="1494369" y="5412925"/>
          <a:ext cx="6951131" cy="1170212"/>
          <a:chOff x="3392715" y="6366329"/>
          <a:chExt cx="6729649" cy="1420237"/>
        </a:xfrm>
      </xdr:grpSpPr>
      <xdr:pic>
        <xdr:nvPicPr>
          <xdr:cNvPr id="45" name="Imagen 44">
            <a:extLst>
              <a:ext uri="{FF2B5EF4-FFF2-40B4-BE49-F238E27FC236}">
                <a16:creationId xmlns:a16="http://schemas.microsoft.com/office/drawing/2014/main" id="{78AD02A4-A532-49F4-B64B-962851D5301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7331" r="16733"/>
          <a:stretch/>
        </xdr:blipFill>
        <xdr:spPr bwMode="auto">
          <a:xfrm>
            <a:off x="4553857" y="6368145"/>
            <a:ext cx="997857" cy="137687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5F247623-CA4B-467E-99FC-F49A4C83E58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3161"/>
          <a:stretch/>
        </xdr:blipFill>
        <xdr:spPr bwMode="auto">
          <a:xfrm>
            <a:off x="9044215" y="6366329"/>
            <a:ext cx="1078149" cy="14078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6" name="Imagen 55">
            <a:extLst>
              <a:ext uri="{FF2B5EF4-FFF2-40B4-BE49-F238E27FC236}">
                <a16:creationId xmlns:a16="http://schemas.microsoft.com/office/drawing/2014/main" id="{F720A981-254A-45F7-BADB-11A30C73F03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576"/>
          <a:stretch/>
        </xdr:blipFill>
        <xdr:spPr bwMode="auto">
          <a:xfrm>
            <a:off x="7772398" y="6402615"/>
            <a:ext cx="1086812" cy="137159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7" name="Imagen 56">
            <a:extLst>
              <a:ext uri="{FF2B5EF4-FFF2-40B4-BE49-F238E27FC236}">
                <a16:creationId xmlns:a16="http://schemas.microsoft.com/office/drawing/2014/main" id="{ADDF2D44-5602-4B11-9F6F-5D5060F60C3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158" r="66242"/>
          <a:stretch/>
        </xdr:blipFill>
        <xdr:spPr bwMode="auto">
          <a:xfrm>
            <a:off x="6740071" y="6393544"/>
            <a:ext cx="1042301" cy="138067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Imagen 57">
            <a:extLst>
              <a:ext uri="{FF2B5EF4-FFF2-40B4-BE49-F238E27FC236}">
                <a16:creationId xmlns:a16="http://schemas.microsoft.com/office/drawing/2014/main" id="{E8E47E40-9FFB-4F84-B016-88F11A0CDC1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01" r="33201"/>
          <a:stretch/>
        </xdr:blipFill>
        <xdr:spPr bwMode="auto">
          <a:xfrm>
            <a:off x="5588001" y="6384472"/>
            <a:ext cx="1025241" cy="132624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9" name="Imagen 58">
            <a:extLst>
              <a:ext uri="{FF2B5EF4-FFF2-40B4-BE49-F238E27FC236}">
                <a16:creationId xmlns:a16="http://schemas.microsoft.com/office/drawing/2014/main" id="{4C42BC9C-FF6E-4531-97C4-6C9626D2C0B4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759" r="49774"/>
          <a:stretch/>
        </xdr:blipFill>
        <xdr:spPr bwMode="auto">
          <a:xfrm>
            <a:off x="3392715" y="6393543"/>
            <a:ext cx="1043214" cy="139302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216113</xdr:colOff>
      <xdr:row>46</xdr:row>
      <xdr:rowOff>79825</xdr:rowOff>
    </xdr:from>
    <xdr:to>
      <xdr:col>10</xdr:col>
      <xdr:colOff>1111250</xdr:colOff>
      <xdr:row>50</xdr:row>
      <xdr:rowOff>148168</xdr:rowOff>
    </xdr:to>
    <xdr:pic>
      <xdr:nvPicPr>
        <xdr:cNvPr id="26" name="Picture 7" descr="C:\Users\TOXEMENT\Pictures\Flowcrete\Normas\Haccp.jpg">
          <a:extLst>
            <a:ext uri="{FF2B5EF4-FFF2-40B4-BE49-F238E27FC236}">
              <a16:creationId xmlns:a16="http://schemas.microsoft.com/office/drawing/2014/main" id="{EAE8A2E4-A637-4B13-B312-E66378DA3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2446" y="14674242"/>
          <a:ext cx="895137" cy="81975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411239</xdr:colOff>
      <xdr:row>45</xdr:row>
      <xdr:rowOff>160694</xdr:rowOff>
    </xdr:from>
    <xdr:to>
      <xdr:col>10</xdr:col>
      <xdr:colOff>95250</xdr:colOff>
      <xdr:row>51</xdr:row>
      <xdr:rowOff>22631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F0D92-C20B-477D-AD4D-6C732453E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10572" y="14585777"/>
          <a:ext cx="1081011" cy="1015521"/>
        </a:xfrm>
        <a:prstGeom prst="rect">
          <a:avLst/>
        </a:prstGeom>
      </xdr:spPr>
    </xdr:pic>
    <xdr:clientData/>
  </xdr:twoCellAnchor>
  <xdr:twoCellAnchor editAs="oneCell">
    <xdr:from>
      <xdr:col>6</xdr:col>
      <xdr:colOff>580571</xdr:colOff>
      <xdr:row>12</xdr:row>
      <xdr:rowOff>181429</xdr:rowOff>
    </xdr:from>
    <xdr:to>
      <xdr:col>7</xdr:col>
      <xdr:colOff>190500</xdr:colOff>
      <xdr:row>18</xdr:row>
      <xdr:rowOff>175437</xdr:rowOff>
    </xdr:to>
    <xdr:pic>
      <xdr:nvPicPr>
        <xdr:cNvPr id="31" name="Picture 8">
          <a:extLst>
            <a:ext uri="{FF2B5EF4-FFF2-40B4-BE49-F238E27FC236}">
              <a16:creationId xmlns:a16="http://schemas.microsoft.com/office/drawing/2014/main" id="{B900F559-C39B-430F-B1D0-3F002DA05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9" r="81755"/>
        <a:stretch>
          <a:fillRect/>
        </a:stretch>
      </xdr:blipFill>
      <xdr:spPr bwMode="auto">
        <a:xfrm>
          <a:off x="8527142" y="6277429"/>
          <a:ext cx="1025072" cy="13547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300942</xdr:colOff>
      <xdr:row>5</xdr:row>
      <xdr:rowOff>172357</xdr:rowOff>
    </xdr:from>
    <xdr:to>
      <xdr:col>9</xdr:col>
      <xdr:colOff>782541</xdr:colOff>
      <xdr:row>11</xdr:row>
      <xdr:rowOff>132928</xdr:rowOff>
    </xdr:to>
    <xdr:pic>
      <xdr:nvPicPr>
        <xdr:cNvPr id="32" name="Picture 12">
          <a:extLst>
            <a:ext uri="{FF2B5EF4-FFF2-40B4-BE49-F238E27FC236}">
              <a16:creationId xmlns:a16="http://schemas.microsoft.com/office/drawing/2014/main" id="{706BF2DA-ACC1-458B-A444-48BE06614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40" r="56252"/>
        <a:stretch>
          <a:fillRect/>
        </a:stretch>
      </xdr:blipFill>
      <xdr:spPr bwMode="auto">
        <a:xfrm>
          <a:off x="9644513" y="4680857"/>
          <a:ext cx="998671" cy="13212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607784</xdr:colOff>
      <xdr:row>4</xdr:row>
      <xdr:rowOff>172355</xdr:rowOff>
    </xdr:from>
    <xdr:to>
      <xdr:col>11</xdr:col>
      <xdr:colOff>417285</xdr:colOff>
      <xdr:row>12</xdr:row>
      <xdr:rowOff>2574</xdr:rowOff>
    </xdr:to>
    <xdr:pic>
      <xdr:nvPicPr>
        <xdr:cNvPr id="33" name="Picture 9">
          <a:extLst>
            <a:ext uri="{FF2B5EF4-FFF2-40B4-BE49-F238E27FC236}">
              <a16:creationId xmlns:a16="http://schemas.microsoft.com/office/drawing/2014/main" id="{BD291028-9B58-4E51-A3D9-BC7CD03BC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00" r="31635"/>
        <a:stretch>
          <a:fillRect/>
        </a:stretch>
      </xdr:blipFill>
      <xdr:spPr bwMode="auto">
        <a:xfrm>
          <a:off x="11348355" y="4454069"/>
          <a:ext cx="1179287" cy="16399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381000</xdr:colOff>
      <xdr:row>19</xdr:row>
      <xdr:rowOff>116113</xdr:rowOff>
    </xdr:from>
    <xdr:to>
      <xdr:col>9</xdr:col>
      <xdr:colOff>820056</xdr:colOff>
      <xdr:row>21</xdr:row>
      <xdr:rowOff>7257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A36C0A7-F861-4804-B019-268371E690A6}"/>
            </a:ext>
          </a:extLst>
        </xdr:cNvPr>
        <xdr:cNvSpPr txBox="1"/>
      </xdr:nvSpPr>
      <xdr:spPr>
        <a:xfrm>
          <a:off x="8327571" y="7799613"/>
          <a:ext cx="2353128" cy="562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100"/>
            <a:t>UNIDAD</a:t>
          </a:r>
          <a:r>
            <a:rPr lang="es-CO" sz="1100" baseline="0"/>
            <a:t> </a:t>
          </a:r>
          <a:r>
            <a:rPr lang="es-CO" sz="1100"/>
            <a:t>FLOWFRESH RESINAS X 20 LB (P/A + P/B)</a:t>
          </a:r>
        </a:p>
      </xdr:txBody>
    </xdr:sp>
    <xdr:clientData/>
  </xdr:twoCellAnchor>
  <xdr:twoCellAnchor>
    <xdr:from>
      <xdr:col>10</xdr:col>
      <xdr:colOff>141513</xdr:colOff>
      <xdr:row>19</xdr:row>
      <xdr:rowOff>70756</xdr:rowOff>
    </xdr:from>
    <xdr:to>
      <xdr:col>11</xdr:col>
      <xdr:colOff>1054100</xdr:colOff>
      <xdr:row>20</xdr:row>
      <xdr:rowOff>440871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DC6BC650-BD6E-4947-B402-15C137D5B3EC}"/>
            </a:ext>
          </a:extLst>
        </xdr:cNvPr>
        <xdr:cNvSpPr txBox="1"/>
      </xdr:nvSpPr>
      <xdr:spPr>
        <a:xfrm>
          <a:off x="10882084" y="7754256"/>
          <a:ext cx="2282373" cy="5969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100"/>
            <a:t>UNIDAD</a:t>
          </a:r>
          <a:r>
            <a:rPr lang="es-CO" sz="1100" baseline="0"/>
            <a:t> </a:t>
          </a:r>
          <a:r>
            <a:rPr lang="es-CO" sz="1100"/>
            <a:t>FLOWFRESH FILLER</a:t>
          </a:r>
        </a:p>
        <a:p>
          <a:pPr algn="ctr"/>
          <a:r>
            <a:rPr lang="es-CO" sz="1100"/>
            <a:t>(Peso</a:t>
          </a:r>
          <a:r>
            <a:rPr lang="es-CO" sz="1100" baseline="0"/>
            <a:t> Depende del Sistema)</a:t>
          </a:r>
          <a:endParaRPr lang="es-CO" sz="1100"/>
        </a:p>
      </xdr:txBody>
    </xdr:sp>
    <xdr:clientData/>
  </xdr:twoCellAnchor>
  <xdr:twoCellAnchor editAs="oneCell">
    <xdr:from>
      <xdr:col>11</xdr:col>
      <xdr:colOff>1197430</xdr:colOff>
      <xdr:row>7</xdr:row>
      <xdr:rowOff>99788</xdr:rowOff>
    </xdr:from>
    <xdr:to>
      <xdr:col>12</xdr:col>
      <xdr:colOff>876644</xdr:colOff>
      <xdr:row>10</xdr:row>
      <xdr:rowOff>54430</xdr:rowOff>
    </xdr:to>
    <xdr:pic>
      <xdr:nvPicPr>
        <xdr:cNvPr id="36" name="Picture 11">
          <a:extLst>
            <a:ext uri="{FF2B5EF4-FFF2-40B4-BE49-F238E27FC236}">
              <a16:creationId xmlns:a16="http://schemas.microsoft.com/office/drawing/2014/main" id="{AFBB536E-E1B6-4F4A-B8C2-886002A4E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153" t="57584" r="5289"/>
        <a:stretch>
          <a:fillRect/>
        </a:stretch>
      </xdr:blipFill>
      <xdr:spPr bwMode="auto">
        <a:xfrm>
          <a:off x="13307787" y="5061859"/>
          <a:ext cx="1303000" cy="6349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11</xdr:col>
      <xdr:colOff>1170215</xdr:colOff>
      <xdr:row>19</xdr:row>
      <xdr:rowOff>99784</xdr:rowOff>
    </xdr:from>
    <xdr:to>
      <xdr:col>12</xdr:col>
      <xdr:colOff>889001</xdr:colOff>
      <xdr:row>21</xdr:row>
      <xdr:rowOff>3627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74183808-9417-480B-A6FC-DF6CDF4B6133}"/>
            </a:ext>
          </a:extLst>
        </xdr:cNvPr>
        <xdr:cNvSpPr txBox="1"/>
      </xdr:nvSpPr>
      <xdr:spPr>
        <a:xfrm>
          <a:off x="13280572" y="7783284"/>
          <a:ext cx="1342572" cy="5751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100"/>
            <a:t>UNIDAD FLOWFRESH PIGMENT</a:t>
          </a:r>
        </a:p>
      </xdr:txBody>
    </xdr:sp>
    <xdr:clientData/>
  </xdr:twoCellAnchor>
  <xdr:twoCellAnchor>
    <xdr:from>
      <xdr:col>9</xdr:col>
      <xdr:colOff>243114</xdr:colOff>
      <xdr:row>3</xdr:row>
      <xdr:rowOff>1211</xdr:rowOff>
    </xdr:from>
    <xdr:to>
      <xdr:col>11</xdr:col>
      <xdr:colOff>1106715</xdr:colOff>
      <xdr:row>4</xdr:row>
      <xdr:rowOff>181429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97C717FB-479A-4631-9AA3-F6A019325AB8}"/>
            </a:ext>
          </a:extLst>
        </xdr:cNvPr>
        <xdr:cNvSpPr txBox="1"/>
      </xdr:nvSpPr>
      <xdr:spPr>
        <a:xfrm>
          <a:off x="10502900" y="2967568"/>
          <a:ext cx="2868386" cy="4070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500" b="1">
              <a:latin typeface="Century Gothic" panose="020B0502020202020204" pitchFamily="34" charset="0"/>
            </a:rPr>
            <a:t> Kit</a:t>
          </a:r>
          <a:r>
            <a:rPr lang="es-CO" sz="1500" b="1" baseline="0">
              <a:latin typeface="Century Gothic" panose="020B0502020202020204" pitchFamily="34" charset="0"/>
            </a:rPr>
            <a:t> Sistema Flowfresh</a:t>
          </a:r>
          <a:endParaRPr lang="es-CO" sz="1500" b="1"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6</xdr:col>
      <xdr:colOff>633185</xdr:colOff>
      <xdr:row>5</xdr:row>
      <xdr:rowOff>134258</xdr:rowOff>
    </xdr:from>
    <xdr:to>
      <xdr:col>7</xdr:col>
      <xdr:colOff>243114</xdr:colOff>
      <xdr:row>11</xdr:row>
      <xdr:rowOff>128266</xdr:rowOff>
    </xdr:to>
    <xdr:pic>
      <xdr:nvPicPr>
        <xdr:cNvPr id="34" name="Picture 8">
          <a:extLst>
            <a:ext uri="{FF2B5EF4-FFF2-40B4-BE49-F238E27FC236}">
              <a16:creationId xmlns:a16="http://schemas.microsoft.com/office/drawing/2014/main" id="{0F311A70-DE17-4FED-AE9F-7AFE4B526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9" r="81755"/>
        <a:stretch>
          <a:fillRect/>
        </a:stretch>
      </xdr:blipFill>
      <xdr:spPr bwMode="auto">
        <a:xfrm>
          <a:off x="8579756" y="4642758"/>
          <a:ext cx="1025072" cy="13547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235630</xdr:colOff>
      <xdr:row>12</xdr:row>
      <xdr:rowOff>145143</xdr:rowOff>
    </xdr:from>
    <xdr:to>
      <xdr:col>9</xdr:col>
      <xdr:colOff>756996</xdr:colOff>
      <xdr:row>18</xdr:row>
      <xdr:rowOff>158328</xdr:rowOff>
    </xdr:to>
    <xdr:pic>
      <xdr:nvPicPr>
        <xdr:cNvPr id="39" name="Picture 12">
          <a:extLst>
            <a:ext uri="{FF2B5EF4-FFF2-40B4-BE49-F238E27FC236}">
              <a16:creationId xmlns:a16="http://schemas.microsoft.com/office/drawing/2014/main" id="{D996C49A-FC3D-4C70-96C4-AC88DD684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40" r="56252"/>
        <a:stretch>
          <a:fillRect/>
        </a:stretch>
      </xdr:blipFill>
      <xdr:spPr bwMode="auto">
        <a:xfrm>
          <a:off x="9579201" y="6241143"/>
          <a:ext cx="1038438" cy="13738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642256</xdr:colOff>
      <xdr:row>11</xdr:row>
      <xdr:rowOff>215898</xdr:rowOff>
    </xdr:from>
    <xdr:to>
      <xdr:col>11</xdr:col>
      <xdr:colOff>451757</xdr:colOff>
      <xdr:row>19</xdr:row>
      <xdr:rowOff>41581</xdr:rowOff>
    </xdr:to>
    <xdr:pic>
      <xdr:nvPicPr>
        <xdr:cNvPr id="40" name="Picture 9">
          <a:extLst>
            <a:ext uri="{FF2B5EF4-FFF2-40B4-BE49-F238E27FC236}">
              <a16:creationId xmlns:a16="http://schemas.microsoft.com/office/drawing/2014/main" id="{3FE56D2D-B14A-438B-8962-FDCBB86E2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00" r="31635"/>
        <a:stretch>
          <a:fillRect/>
        </a:stretch>
      </xdr:blipFill>
      <xdr:spPr bwMode="auto">
        <a:xfrm>
          <a:off x="11382827" y="6085112"/>
          <a:ext cx="1179287" cy="16399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1250044</xdr:colOff>
      <xdr:row>13</xdr:row>
      <xdr:rowOff>161473</xdr:rowOff>
    </xdr:from>
    <xdr:to>
      <xdr:col>12</xdr:col>
      <xdr:colOff>929258</xdr:colOff>
      <xdr:row>16</xdr:row>
      <xdr:rowOff>116115</xdr:rowOff>
    </xdr:to>
    <xdr:pic>
      <xdr:nvPicPr>
        <xdr:cNvPr id="41" name="Picture 11">
          <a:extLst>
            <a:ext uri="{FF2B5EF4-FFF2-40B4-BE49-F238E27FC236}">
              <a16:creationId xmlns:a16="http://schemas.microsoft.com/office/drawing/2014/main" id="{469757A1-CCB1-48BE-86CA-05F3D5C78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153" t="57584" r="5289"/>
        <a:stretch>
          <a:fillRect/>
        </a:stretch>
      </xdr:blipFill>
      <xdr:spPr bwMode="auto">
        <a:xfrm>
          <a:off x="13360401" y="6484259"/>
          <a:ext cx="1303000" cy="6349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151192</xdr:colOff>
      <xdr:row>0</xdr:row>
      <xdr:rowOff>86178</xdr:rowOff>
    </xdr:from>
    <xdr:to>
      <xdr:col>12</xdr:col>
      <xdr:colOff>1355326</xdr:colOff>
      <xdr:row>1</xdr:row>
      <xdr:rowOff>1428750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95325D76-25F2-46F1-BF65-83C2C4141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275" y="86178"/>
          <a:ext cx="14856634" cy="2760739"/>
        </a:xfrm>
        <a:prstGeom prst="rect">
          <a:avLst/>
        </a:prstGeom>
      </xdr:spPr>
    </xdr:pic>
    <xdr:clientData/>
  </xdr:twoCellAnchor>
  <xdr:twoCellAnchor>
    <xdr:from>
      <xdr:col>9</xdr:col>
      <xdr:colOff>869255</xdr:colOff>
      <xdr:row>45</xdr:row>
      <xdr:rowOff>235858</xdr:rowOff>
    </xdr:from>
    <xdr:to>
      <xdr:col>10</xdr:col>
      <xdr:colOff>787779</xdr:colOff>
      <xdr:row>49</xdr:row>
      <xdr:rowOff>1</xdr:rowOff>
    </xdr:to>
    <xdr:pic>
      <xdr:nvPicPr>
        <xdr:cNvPr id="24" name="Picture 7" descr="C:\Users\TOXEMENT\Pictures\Flowcrete\Normas\Haccp.jpg">
          <a:extLst>
            <a:ext uri="{FF2B5EF4-FFF2-40B4-BE49-F238E27FC236}">
              <a16:creationId xmlns:a16="http://schemas.microsoft.com/office/drawing/2014/main" id="{8188776B-A577-4F18-B647-920FF120F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469" y="14133287"/>
          <a:ext cx="798453" cy="75292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435428</xdr:colOff>
      <xdr:row>45</xdr:row>
      <xdr:rowOff>149678</xdr:rowOff>
    </xdr:from>
    <xdr:to>
      <xdr:col>10</xdr:col>
      <xdr:colOff>37104</xdr:colOff>
      <xdr:row>49</xdr:row>
      <xdr:rowOff>105922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C3A52F24-065C-416E-BAE7-09B01F26D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75571" y="14047107"/>
          <a:ext cx="998676" cy="945029"/>
        </a:xfrm>
        <a:prstGeom prst="rect">
          <a:avLst/>
        </a:prstGeom>
      </xdr:spPr>
    </xdr:pic>
    <xdr:clientData/>
  </xdr:twoCellAnchor>
  <xdr:twoCellAnchor>
    <xdr:from>
      <xdr:col>1</xdr:col>
      <xdr:colOff>1481667</xdr:colOff>
      <xdr:row>4</xdr:row>
      <xdr:rowOff>185282</xdr:rowOff>
    </xdr:from>
    <xdr:to>
      <xdr:col>4</xdr:col>
      <xdr:colOff>560916</xdr:colOff>
      <xdr:row>6</xdr:row>
      <xdr:rowOff>10584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A2179AE1-B044-4F42-BE9C-BEE83445E6A7}"/>
            </a:ext>
          </a:extLst>
        </xdr:cNvPr>
        <xdr:cNvSpPr txBox="1"/>
      </xdr:nvSpPr>
      <xdr:spPr>
        <a:xfrm>
          <a:off x="1682750" y="4386865"/>
          <a:ext cx="4127499" cy="2698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CO" sz="1500" b="1">
              <a:latin typeface="Century Gothic" panose="020B0502020202020204" pitchFamily="34" charset="0"/>
            </a:rPr>
            <a:t>FLOWFRESH </a:t>
          </a:r>
          <a:r>
            <a:rPr lang="es-CO" sz="1500" b="1" baseline="0">
              <a:latin typeface="Century Gothic" panose="020B0502020202020204" pitchFamily="34" charset="0"/>
            </a:rPr>
            <a:t>SL/MF ACABADO LISO</a:t>
          </a:r>
          <a:endParaRPr lang="es-CO" sz="1500" b="1"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1</xdr:col>
      <xdr:colOff>1450520</xdr:colOff>
      <xdr:row>6</xdr:row>
      <xdr:rowOff>143630</xdr:rowOff>
    </xdr:from>
    <xdr:to>
      <xdr:col>5</xdr:col>
      <xdr:colOff>461969</xdr:colOff>
      <xdr:row>11</xdr:row>
      <xdr:rowOff>145972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2A5AC3C-AD5C-4C72-8439-3A5CE3512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603" y="4789713"/>
          <a:ext cx="6413735" cy="1113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1307707</xdr:colOff>
      <xdr:row>14</xdr:row>
      <xdr:rowOff>41952</xdr:rowOff>
    </xdr:from>
    <xdr:to>
      <xdr:col>5</xdr:col>
      <xdr:colOff>784678</xdr:colOff>
      <xdr:row>17</xdr:row>
      <xdr:rowOff>155044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38D2430E-2886-4C29-A8A7-FF6907569C19}"/>
            </a:ext>
          </a:extLst>
        </xdr:cNvPr>
        <xdr:cNvGrpSpPr/>
      </xdr:nvGrpSpPr>
      <xdr:grpSpPr>
        <a:xfrm>
          <a:off x="1634278" y="5584595"/>
          <a:ext cx="6888329" cy="793449"/>
          <a:chOff x="3463380" y="5461000"/>
          <a:chExt cx="6869292" cy="589644"/>
        </a:xfrm>
      </xdr:grpSpPr>
      <xdr:pic>
        <xdr:nvPicPr>
          <xdr:cNvPr id="30" name="Picture 2">
            <a:extLst>
              <a:ext uri="{FF2B5EF4-FFF2-40B4-BE49-F238E27FC236}">
                <a16:creationId xmlns:a16="http://schemas.microsoft.com/office/drawing/2014/main" id="{218A85BF-6F81-417F-85E5-78EC94C29A6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saturation sat="66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t="1" r="31029" b="20123"/>
          <a:stretch/>
        </xdr:blipFill>
        <xdr:spPr bwMode="auto">
          <a:xfrm>
            <a:off x="7774215" y="5472535"/>
            <a:ext cx="984936" cy="550894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  <xdr:pic>
        <xdr:nvPicPr>
          <xdr:cNvPr id="31" name="Picture 3">
            <a:extLst>
              <a:ext uri="{FF2B5EF4-FFF2-40B4-BE49-F238E27FC236}">
                <a16:creationId xmlns:a16="http://schemas.microsoft.com/office/drawing/2014/main" id="{6B040848-6416-444A-88CA-20F7A84B0A6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2409" b="18647"/>
          <a:stretch/>
        </xdr:blipFill>
        <xdr:spPr bwMode="auto">
          <a:xfrm>
            <a:off x="6682885" y="5470071"/>
            <a:ext cx="973400" cy="562429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  <xdr:pic>
        <xdr:nvPicPr>
          <xdr:cNvPr id="32" name="Picture 5">
            <a:extLst>
              <a:ext uri="{FF2B5EF4-FFF2-40B4-BE49-F238E27FC236}">
                <a16:creationId xmlns:a16="http://schemas.microsoft.com/office/drawing/2014/main" id="{8C8D9128-99DE-484A-BE75-E9F2386334BC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30669" b="12630"/>
          <a:stretch/>
        </xdr:blipFill>
        <xdr:spPr bwMode="auto">
          <a:xfrm>
            <a:off x="5572730" y="5468252"/>
            <a:ext cx="985913" cy="573319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  <xdr:pic>
        <xdr:nvPicPr>
          <xdr:cNvPr id="33" name="Picture 8">
            <a:extLst>
              <a:ext uri="{FF2B5EF4-FFF2-40B4-BE49-F238E27FC236}">
                <a16:creationId xmlns:a16="http://schemas.microsoft.com/office/drawing/2014/main" id="{E0AA2D7A-76DC-461A-A2A4-829B171CA76D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6081"/>
          <a:stretch/>
        </xdr:blipFill>
        <xdr:spPr bwMode="auto">
          <a:xfrm>
            <a:off x="8881846" y="5479143"/>
            <a:ext cx="1450826" cy="526143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  <xdr:pic>
        <xdr:nvPicPr>
          <xdr:cNvPr id="34" name="Picture 9">
            <a:extLst>
              <a:ext uri="{FF2B5EF4-FFF2-40B4-BE49-F238E27FC236}">
                <a16:creationId xmlns:a16="http://schemas.microsoft.com/office/drawing/2014/main" id="{59D46C20-9D92-4B58-B90B-1E9C981731F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0">
            <a:extLst>
              <a:ext uri="{BEBA8EAE-BF5A-486C-A8C5-ECC9F3942E4B}">
                <a14:imgProps xmlns:a14="http://schemas.microsoft.com/office/drawing/2010/main">
                  <a14:imgLayer r:embed="rId11">
                    <a14:imgEffect>
                      <a14:colorTemperature colorTemp="72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r="31786" b="3196"/>
          <a:stretch/>
        </xdr:blipFill>
        <xdr:spPr bwMode="auto">
          <a:xfrm>
            <a:off x="4488980" y="5461000"/>
            <a:ext cx="965255" cy="589644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  <xdr:pic>
        <xdr:nvPicPr>
          <xdr:cNvPr id="35" name="47 Imagen">
            <a:extLst>
              <a:ext uri="{FF2B5EF4-FFF2-40B4-BE49-F238E27FC236}">
                <a16:creationId xmlns:a16="http://schemas.microsoft.com/office/drawing/2014/main" id="{B57FB94D-1299-4A9D-8DEF-791FAE2B49D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BEBA8EAE-BF5A-486C-A8C5-ECC9F3942E4B}">
                <a14:imgProps xmlns:a14="http://schemas.microsoft.com/office/drawing/2010/main">
                  <a14:imgLayer r:embed="rId13">
                    <a14:imgEffect>
                      <a14:saturation sat="3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r="26203" b="3165"/>
          <a:stretch/>
        </xdr:blipFill>
        <xdr:spPr>
          <a:xfrm>
            <a:off x="3463380" y="5468252"/>
            <a:ext cx="945334" cy="582391"/>
          </a:xfrm>
          <a:prstGeom prst="roundRect">
            <a:avLst>
              <a:gd name="adj" fmla="val 16667"/>
            </a:avLst>
          </a:prstGeom>
          <a:ln>
            <a:noFill/>
          </a:ln>
          <a:effectLst>
            <a:outerShdw blurRad="152400" dist="12000" dir="900000" sy="98000" kx="110000" ky="200000" algn="tl" rotWithShape="0">
              <a:srgbClr val="000000">
                <a:alpha val="30000"/>
              </a:srgbClr>
            </a:outerShdw>
          </a:effectLst>
          <a:scene3d>
            <a:camera prst="perspectiveRelaxed">
              <a:rot lat="19800000" lon="1200000" rev="20820000"/>
            </a:camera>
            <a:lightRig rig="threePt" dir="t"/>
          </a:scene3d>
          <a:sp3d contourW="6350" prstMaterial="matte">
            <a:bevelT w="101600" h="101600"/>
            <a:contourClr>
              <a:srgbClr val="969696"/>
            </a:contourClr>
          </a:sp3d>
        </xdr:spPr>
      </xdr:pic>
    </xdr:grpSp>
    <xdr:clientData/>
  </xdr:twoCellAnchor>
  <xdr:twoCellAnchor>
    <xdr:from>
      <xdr:col>9</xdr:col>
      <xdr:colOff>817636</xdr:colOff>
      <xdr:row>22</xdr:row>
      <xdr:rowOff>42859</xdr:rowOff>
    </xdr:from>
    <xdr:to>
      <xdr:col>11</xdr:col>
      <xdr:colOff>853923</xdr:colOff>
      <xdr:row>24</xdr:row>
      <xdr:rowOff>527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94028C16-3EE9-4D4E-A20E-15FFDFEF2BA3}"/>
            </a:ext>
          </a:extLst>
        </xdr:cNvPr>
        <xdr:cNvSpPr txBox="1"/>
      </xdr:nvSpPr>
      <xdr:spPr>
        <a:xfrm>
          <a:off x="11072886" y="8255526"/>
          <a:ext cx="2227037" cy="6138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100"/>
            <a:t>UNIDAD</a:t>
          </a:r>
          <a:r>
            <a:rPr lang="es-CO" sz="1100" baseline="0"/>
            <a:t> </a:t>
          </a:r>
          <a:r>
            <a:rPr lang="es-CO" sz="1100"/>
            <a:t>FLOWFRESH FILLER</a:t>
          </a:r>
        </a:p>
        <a:p>
          <a:pPr algn="ctr"/>
          <a:r>
            <a:rPr lang="es-CO" sz="1100"/>
            <a:t>(Peso</a:t>
          </a:r>
          <a:r>
            <a:rPr lang="es-CO" sz="1100" baseline="0"/>
            <a:t> Depende del Sistema)</a:t>
          </a:r>
          <a:endParaRPr lang="es-CO" sz="1100"/>
        </a:p>
      </xdr:txBody>
    </xdr:sp>
    <xdr:clientData/>
  </xdr:twoCellAnchor>
  <xdr:twoCellAnchor>
    <xdr:from>
      <xdr:col>11</xdr:col>
      <xdr:colOff>995740</xdr:colOff>
      <xdr:row>22</xdr:row>
      <xdr:rowOff>53142</xdr:rowOff>
    </xdr:from>
    <xdr:to>
      <xdr:col>12</xdr:col>
      <xdr:colOff>1035655</xdr:colOff>
      <xdr:row>23</xdr:row>
      <xdr:rowOff>243417</xdr:rowOff>
    </xdr:to>
    <xdr:sp macro="" textlink="">
      <xdr:nvSpPr>
        <xdr:cNvPr id="50" name="CuadroTexto 49">
          <a:extLst>
            <a:ext uri="{FF2B5EF4-FFF2-40B4-BE49-F238E27FC236}">
              <a16:creationId xmlns:a16="http://schemas.microsoft.com/office/drawing/2014/main" id="{A2C5CD1A-9478-49B7-A125-5F762620A6EC}"/>
            </a:ext>
          </a:extLst>
        </xdr:cNvPr>
        <xdr:cNvSpPr txBox="1"/>
      </xdr:nvSpPr>
      <xdr:spPr>
        <a:xfrm>
          <a:off x="13441740" y="8265809"/>
          <a:ext cx="1447498" cy="507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100"/>
            <a:t>UNIDAD FLOWFRESH PIGMENT</a:t>
          </a:r>
        </a:p>
      </xdr:txBody>
    </xdr:sp>
    <xdr:clientData/>
  </xdr:twoCellAnchor>
  <xdr:twoCellAnchor>
    <xdr:from>
      <xdr:col>2</xdr:col>
      <xdr:colOff>662215</xdr:colOff>
      <xdr:row>0</xdr:row>
      <xdr:rowOff>771072</xdr:rowOff>
    </xdr:from>
    <xdr:to>
      <xdr:col>12</xdr:col>
      <xdr:colOff>221220</xdr:colOff>
      <xdr:row>1</xdr:row>
      <xdr:rowOff>880130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2914BB23-B026-47E1-BA0E-BBCED1E40331}"/>
            </a:ext>
          </a:extLst>
        </xdr:cNvPr>
        <xdr:cNvSpPr/>
      </xdr:nvSpPr>
      <xdr:spPr>
        <a:xfrm>
          <a:off x="2476501" y="771072"/>
          <a:ext cx="11415362" cy="153327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4000" b="1" cap="none" spc="0">
              <a:ln w="0">
                <a:solidFill>
                  <a:schemeClr val="bg1">
                    <a:lumMod val="65000"/>
                  </a:schemeClr>
                </a:solidFill>
              </a:ln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SISTEMAS FLOWFRESH TRÁFICO</a:t>
          </a:r>
          <a:r>
            <a:rPr lang="es-ES" sz="4000" b="1" cap="none" spc="0" baseline="0">
              <a:ln w="0">
                <a:solidFill>
                  <a:schemeClr val="bg1">
                    <a:lumMod val="65000"/>
                  </a:schemeClr>
                </a:solidFill>
              </a:ln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 MEDIO</a:t>
          </a:r>
          <a:endParaRPr lang="es-ES" sz="4000" b="1" cap="none" spc="0">
            <a:ln w="0">
              <a:solidFill>
                <a:schemeClr val="bg1">
                  <a:lumMod val="65000"/>
                </a:schemeClr>
              </a:solidFill>
            </a:ln>
            <a:solidFill>
              <a:schemeClr val="bg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Century Gothic" panose="020B0502020202020204" pitchFamily="34" charset="0"/>
          </a:endParaRPr>
        </a:p>
        <a:p>
          <a:pPr algn="ctr"/>
          <a:r>
            <a:rPr lang="es-ES" sz="3000" b="0" cap="none" spc="0">
              <a:ln w="0">
                <a:solidFill>
                  <a:schemeClr val="bg1">
                    <a:lumMod val="65000"/>
                  </a:schemeClr>
                </a:solidFill>
              </a:ln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Linea</a:t>
          </a:r>
          <a:r>
            <a:rPr lang="es-ES" sz="3000" b="0" cap="none" spc="0" baseline="0">
              <a:ln w="0">
                <a:solidFill>
                  <a:schemeClr val="bg1">
                    <a:lumMod val="65000"/>
                  </a:schemeClr>
                </a:solidFill>
              </a:ln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 Uretano Cemento Antimicrobial de FLOWCRETE</a:t>
          </a:r>
          <a:endParaRPr lang="es-ES" sz="3000" b="0" cap="none" spc="0">
            <a:ln w="0">
              <a:solidFill>
                <a:schemeClr val="bg1">
                  <a:lumMod val="65000"/>
                </a:schemeClr>
              </a:solidFill>
            </a:ln>
            <a:solidFill>
              <a:schemeClr val="bg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</xdr:col>
      <xdr:colOff>1422400</xdr:colOff>
      <xdr:row>12</xdr:row>
      <xdr:rowOff>73099</xdr:rowOff>
    </xdr:from>
    <xdr:to>
      <xdr:col>4</xdr:col>
      <xdr:colOff>501649</xdr:colOff>
      <xdr:row>13</xdr:row>
      <xdr:rowOff>120651</xdr:rowOff>
    </xdr:to>
    <xdr:sp macro="" textlink="">
      <xdr:nvSpPr>
        <xdr:cNvPr id="54" name="CuadroTexto 53">
          <a:extLst>
            <a:ext uri="{FF2B5EF4-FFF2-40B4-BE49-F238E27FC236}">
              <a16:creationId xmlns:a16="http://schemas.microsoft.com/office/drawing/2014/main" id="{18B2EA6D-1ACB-4FAC-8DD6-A6EB3392E9BD}"/>
            </a:ext>
          </a:extLst>
        </xdr:cNvPr>
        <xdr:cNvSpPr txBox="1"/>
      </xdr:nvSpPr>
      <xdr:spPr>
        <a:xfrm>
          <a:off x="1623483" y="6052682"/>
          <a:ext cx="4127499" cy="2698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CO" sz="1500" b="1">
              <a:latin typeface="Century Gothic" panose="020B0502020202020204" pitchFamily="34" charset="0"/>
            </a:rPr>
            <a:t>FLOWFRESH </a:t>
          </a:r>
          <a:r>
            <a:rPr lang="es-CO" sz="1500" b="1" baseline="0">
              <a:latin typeface="Century Gothic" panose="020B0502020202020204" pitchFamily="34" charset="0"/>
            </a:rPr>
            <a:t>SL/MF ACABADO RUGOSO</a:t>
          </a:r>
          <a:endParaRPr lang="es-CO" sz="1500" b="1"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8</xdr:col>
      <xdr:colOff>228371</xdr:colOff>
      <xdr:row>8</xdr:row>
      <xdr:rowOff>110372</xdr:rowOff>
    </xdr:from>
    <xdr:to>
      <xdr:col>9</xdr:col>
      <xdr:colOff>708459</xdr:colOff>
      <xdr:row>14</xdr:row>
      <xdr:rowOff>98158</xdr:rowOff>
    </xdr:to>
    <xdr:pic>
      <xdr:nvPicPr>
        <xdr:cNvPr id="36" name="Picture 12">
          <a:extLst>
            <a:ext uri="{FF2B5EF4-FFF2-40B4-BE49-F238E27FC236}">
              <a16:creationId xmlns:a16="http://schemas.microsoft.com/office/drawing/2014/main" id="{2D037E48-9B4C-4E5D-9F56-C53EFB4BC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40" r="56252"/>
        <a:stretch>
          <a:fillRect/>
        </a:stretch>
      </xdr:blipFill>
      <xdr:spPr bwMode="auto">
        <a:xfrm>
          <a:off x="9965038" y="5200955"/>
          <a:ext cx="998671" cy="13212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535213</xdr:colOff>
      <xdr:row>7</xdr:row>
      <xdr:rowOff>105834</xdr:rowOff>
    </xdr:from>
    <xdr:to>
      <xdr:col>11</xdr:col>
      <xdr:colOff>402167</xdr:colOff>
      <xdr:row>14</xdr:row>
      <xdr:rowOff>190053</xdr:rowOff>
    </xdr:to>
    <xdr:pic>
      <xdr:nvPicPr>
        <xdr:cNvPr id="37" name="Picture 9">
          <a:extLst>
            <a:ext uri="{FF2B5EF4-FFF2-40B4-BE49-F238E27FC236}">
              <a16:creationId xmlns:a16="http://schemas.microsoft.com/office/drawing/2014/main" id="{BBF32EE8-60EB-4C09-8718-A478970D8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00" r="31635"/>
        <a:stretch>
          <a:fillRect/>
        </a:stretch>
      </xdr:blipFill>
      <xdr:spPr bwMode="auto">
        <a:xfrm>
          <a:off x="11668880" y="4974167"/>
          <a:ext cx="1179287" cy="16399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1182312</xdr:colOff>
      <xdr:row>10</xdr:row>
      <xdr:rowOff>46874</xdr:rowOff>
    </xdr:from>
    <xdr:to>
      <xdr:col>12</xdr:col>
      <xdr:colOff>1077728</xdr:colOff>
      <xdr:row>13</xdr:row>
      <xdr:rowOff>15123</xdr:rowOff>
    </xdr:to>
    <xdr:pic>
      <xdr:nvPicPr>
        <xdr:cNvPr id="38" name="Picture 11">
          <a:extLst>
            <a:ext uri="{FF2B5EF4-FFF2-40B4-BE49-F238E27FC236}">
              <a16:creationId xmlns:a16="http://schemas.microsoft.com/office/drawing/2014/main" id="{BA04F575-8011-4BA0-84AE-9BAEBA264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153" t="57584" r="5289"/>
        <a:stretch>
          <a:fillRect/>
        </a:stretch>
      </xdr:blipFill>
      <xdr:spPr bwMode="auto">
        <a:xfrm>
          <a:off x="13628312" y="5581957"/>
          <a:ext cx="1303000" cy="6349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569685</xdr:colOff>
      <xdr:row>14</xdr:row>
      <xdr:rowOff>181127</xdr:rowOff>
    </xdr:from>
    <xdr:to>
      <xdr:col>11</xdr:col>
      <xdr:colOff>436639</xdr:colOff>
      <xdr:row>22</xdr:row>
      <xdr:rowOff>32511</xdr:rowOff>
    </xdr:to>
    <xdr:pic>
      <xdr:nvPicPr>
        <xdr:cNvPr id="41" name="Picture 9">
          <a:extLst>
            <a:ext uri="{FF2B5EF4-FFF2-40B4-BE49-F238E27FC236}">
              <a16:creationId xmlns:a16="http://schemas.microsoft.com/office/drawing/2014/main" id="{AC5A4F39-D861-4B9D-8343-138EDE72F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00" r="31635"/>
        <a:stretch>
          <a:fillRect/>
        </a:stretch>
      </xdr:blipFill>
      <xdr:spPr bwMode="auto">
        <a:xfrm>
          <a:off x="11703352" y="6605210"/>
          <a:ext cx="1179287" cy="16399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1234926</xdr:colOff>
      <xdr:row>16</xdr:row>
      <xdr:rowOff>135774</xdr:rowOff>
    </xdr:from>
    <xdr:to>
      <xdr:col>12</xdr:col>
      <xdr:colOff>1130342</xdr:colOff>
      <xdr:row>19</xdr:row>
      <xdr:rowOff>104023</xdr:rowOff>
    </xdr:to>
    <xdr:pic>
      <xdr:nvPicPr>
        <xdr:cNvPr id="42" name="Picture 11">
          <a:extLst>
            <a:ext uri="{FF2B5EF4-FFF2-40B4-BE49-F238E27FC236}">
              <a16:creationId xmlns:a16="http://schemas.microsoft.com/office/drawing/2014/main" id="{6DC2C721-411E-4D54-BB42-4D09988A0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153" t="57584" r="5289"/>
        <a:stretch>
          <a:fillRect/>
        </a:stretch>
      </xdr:blipFill>
      <xdr:spPr bwMode="auto">
        <a:xfrm>
          <a:off x="13680926" y="7004357"/>
          <a:ext cx="1303000" cy="6349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44753</xdr:colOff>
      <xdr:row>4</xdr:row>
      <xdr:rowOff>127831</xdr:rowOff>
    </xdr:from>
    <xdr:to>
      <xdr:col>11</xdr:col>
      <xdr:colOff>967318</xdr:colOff>
      <xdr:row>6</xdr:row>
      <xdr:rowOff>90334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D69E3303-7E2B-4569-B4F3-C34BB467F18B}"/>
            </a:ext>
          </a:extLst>
        </xdr:cNvPr>
        <xdr:cNvSpPr txBox="1"/>
      </xdr:nvSpPr>
      <xdr:spPr>
        <a:xfrm>
          <a:off x="10300003" y="4329414"/>
          <a:ext cx="3113315" cy="4070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500" b="1">
              <a:latin typeface="Century Gothic" panose="020B0502020202020204" pitchFamily="34" charset="0"/>
            </a:rPr>
            <a:t> Kit</a:t>
          </a:r>
          <a:r>
            <a:rPr lang="es-CO" sz="1500" b="1" baseline="0">
              <a:latin typeface="Century Gothic" panose="020B0502020202020204" pitchFamily="34" charset="0"/>
            </a:rPr>
            <a:t> Sistema Flowfresh</a:t>
          </a:r>
          <a:endParaRPr lang="es-CO" sz="1500" b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341086</xdr:colOff>
      <xdr:row>22</xdr:row>
      <xdr:rowOff>11413</xdr:rowOff>
    </xdr:from>
    <xdr:to>
      <xdr:col>9</xdr:col>
      <xdr:colOff>780142</xdr:colOff>
      <xdr:row>23</xdr:row>
      <xdr:rowOff>307747</xdr:rowOff>
    </xdr:to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FC9BB56E-5A70-4A6D-B4F0-FDCEBDF43134}"/>
            </a:ext>
          </a:extLst>
        </xdr:cNvPr>
        <xdr:cNvSpPr txBox="1"/>
      </xdr:nvSpPr>
      <xdr:spPr>
        <a:xfrm>
          <a:off x="8680753" y="8224080"/>
          <a:ext cx="2354639" cy="6138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100"/>
            <a:t>UNIDAD</a:t>
          </a:r>
          <a:r>
            <a:rPr lang="es-CO" sz="1100" baseline="0"/>
            <a:t> </a:t>
          </a:r>
          <a:r>
            <a:rPr lang="es-CO" sz="1100"/>
            <a:t>FLOWFRESH RESINAS X 20 LB (P/A + P/B)</a:t>
          </a:r>
        </a:p>
      </xdr:txBody>
    </xdr:sp>
    <xdr:clientData/>
  </xdr:twoCellAnchor>
  <xdr:twoCellAnchor editAs="oneCell">
    <xdr:from>
      <xdr:col>6</xdr:col>
      <xdr:colOff>518583</xdr:colOff>
      <xdr:row>15</xdr:row>
      <xdr:rowOff>119444</xdr:rowOff>
    </xdr:from>
    <xdr:to>
      <xdr:col>7</xdr:col>
      <xdr:colOff>473226</xdr:colOff>
      <xdr:row>21</xdr:row>
      <xdr:rowOff>140667</xdr:rowOff>
    </xdr:to>
    <xdr:pic>
      <xdr:nvPicPr>
        <xdr:cNvPr id="56" name="Picture 8">
          <a:extLst>
            <a:ext uri="{FF2B5EF4-FFF2-40B4-BE49-F238E27FC236}">
              <a16:creationId xmlns:a16="http://schemas.microsoft.com/office/drawing/2014/main" id="{C26FE0DE-2822-4B42-8D37-42D9F0361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9" r="81755"/>
        <a:stretch>
          <a:fillRect/>
        </a:stretch>
      </xdr:blipFill>
      <xdr:spPr bwMode="auto">
        <a:xfrm>
          <a:off x="8858250" y="6765777"/>
          <a:ext cx="1025072" cy="13547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571197</xdr:colOff>
      <xdr:row>8</xdr:row>
      <xdr:rowOff>40523</xdr:rowOff>
    </xdr:from>
    <xdr:to>
      <xdr:col>7</xdr:col>
      <xdr:colOff>525840</xdr:colOff>
      <xdr:row>14</xdr:row>
      <xdr:rowOff>61746</xdr:rowOff>
    </xdr:to>
    <xdr:pic>
      <xdr:nvPicPr>
        <xdr:cNvPr id="57" name="Picture 8">
          <a:extLst>
            <a:ext uri="{FF2B5EF4-FFF2-40B4-BE49-F238E27FC236}">
              <a16:creationId xmlns:a16="http://schemas.microsoft.com/office/drawing/2014/main" id="{625EB8B0-436A-491C-8457-AD4F6B57D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9" r="81755"/>
        <a:stretch>
          <a:fillRect/>
        </a:stretch>
      </xdr:blipFill>
      <xdr:spPr bwMode="auto">
        <a:xfrm>
          <a:off x="8910864" y="5131106"/>
          <a:ext cx="1025072" cy="13547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173642</xdr:colOff>
      <xdr:row>15</xdr:row>
      <xdr:rowOff>83158</xdr:rowOff>
    </xdr:from>
    <xdr:to>
      <xdr:col>9</xdr:col>
      <xdr:colOff>693497</xdr:colOff>
      <xdr:row>21</xdr:row>
      <xdr:rowOff>123558</xdr:rowOff>
    </xdr:to>
    <xdr:pic>
      <xdr:nvPicPr>
        <xdr:cNvPr id="58" name="Picture 12">
          <a:extLst>
            <a:ext uri="{FF2B5EF4-FFF2-40B4-BE49-F238E27FC236}">
              <a16:creationId xmlns:a16="http://schemas.microsoft.com/office/drawing/2014/main" id="{A704A3DD-4FFD-4877-A0CF-AABF32B91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40" r="56252"/>
        <a:stretch>
          <a:fillRect/>
        </a:stretch>
      </xdr:blipFill>
      <xdr:spPr bwMode="auto">
        <a:xfrm>
          <a:off x="9910309" y="6729491"/>
          <a:ext cx="1038438" cy="13738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143397</xdr:colOff>
      <xdr:row>36</xdr:row>
      <xdr:rowOff>0</xdr:rowOff>
    </xdr:from>
    <xdr:to>
      <xdr:col>9</xdr:col>
      <xdr:colOff>146572</xdr:colOff>
      <xdr:row>45</xdr:row>
      <xdr:rowOff>204704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A80E7B-24E3-44EB-9F87-0CD2DAE71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1097" y="14020800"/>
          <a:ext cx="3175" cy="196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120953</xdr:colOff>
      <xdr:row>9</xdr:row>
      <xdr:rowOff>56317</xdr:rowOff>
    </xdr:from>
    <xdr:to>
      <xdr:col>13</xdr:col>
      <xdr:colOff>592524</xdr:colOff>
      <xdr:row>14</xdr:row>
      <xdr:rowOff>141208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C331E1-BBCA-496D-AA4D-6406E8128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303" y="4393367"/>
          <a:ext cx="6427871" cy="1113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396120</xdr:colOff>
      <xdr:row>8</xdr:row>
      <xdr:rowOff>129952</xdr:rowOff>
    </xdr:from>
    <xdr:to>
      <xdr:col>5</xdr:col>
      <xdr:colOff>2293407</xdr:colOff>
      <xdr:row>18</xdr:row>
      <xdr:rowOff>5866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9D0CD1A-245A-42A8-8D16-20BDD278F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120" y="3516619"/>
          <a:ext cx="5188704" cy="3114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0</xdr:row>
      <xdr:rowOff>105834</xdr:rowOff>
    </xdr:from>
    <xdr:to>
      <xdr:col>14</xdr:col>
      <xdr:colOff>1333500</xdr:colOff>
      <xdr:row>4</xdr:row>
      <xdr:rowOff>171546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D36E9EF-2661-4DCA-A9F3-338C69C59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1583" y="105834"/>
          <a:ext cx="14478000" cy="2690379"/>
        </a:xfrm>
        <a:prstGeom prst="rect">
          <a:avLst/>
        </a:prstGeom>
      </xdr:spPr>
    </xdr:pic>
    <xdr:clientData/>
  </xdr:twoCellAnchor>
  <xdr:twoCellAnchor>
    <xdr:from>
      <xdr:col>4</xdr:col>
      <xdr:colOff>52916</xdr:colOff>
      <xdr:row>2</xdr:row>
      <xdr:rowOff>391584</xdr:rowOff>
    </xdr:from>
    <xdr:to>
      <xdr:col>14</xdr:col>
      <xdr:colOff>505551</xdr:colOff>
      <xdr:row>3</xdr:row>
      <xdr:rowOff>408883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E5EB4A1-7D74-4A49-981E-B94E7B53265B}"/>
            </a:ext>
          </a:extLst>
        </xdr:cNvPr>
        <xdr:cNvSpPr/>
      </xdr:nvSpPr>
      <xdr:spPr>
        <a:xfrm>
          <a:off x="2741083" y="814917"/>
          <a:ext cx="11300551" cy="153071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4000" b="1" cap="none" spc="0">
              <a:ln w="0">
                <a:solidFill>
                  <a:schemeClr val="bg1">
                    <a:lumMod val="65000"/>
                  </a:schemeClr>
                </a:solidFill>
              </a:ln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SISTEMA FLOWFRESH COVE</a:t>
          </a:r>
        </a:p>
        <a:p>
          <a:pPr algn="ctr"/>
          <a:r>
            <a:rPr lang="es-ES" sz="3000" b="0" cap="none" spc="0" baseline="0">
              <a:ln w="0">
                <a:solidFill>
                  <a:schemeClr val="bg1">
                    <a:lumMod val="65000"/>
                  </a:schemeClr>
                </a:solidFill>
              </a:ln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Media Caña Uretano Cemento COMPLETA</a:t>
          </a:r>
          <a:endParaRPr lang="es-ES" sz="3000" b="0" cap="none" spc="0">
            <a:ln w="0">
              <a:solidFill>
                <a:schemeClr val="bg1">
                  <a:lumMod val="65000"/>
                </a:schemeClr>
              </a:solidFill>
            </a:ln>
            <a:solidFill>
              <a:schemeClr val="bg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335642</xdr:colOff>
      <xdr:row>8</xdr:row>
      <xdr:rowOff>16631</xdr:rowOff>
    </xdr:from>
    <xdr:to>
      <xdr:col>6</xdr:col>
      <xdr:colOff>185812</xdr:colOff>
      <xdr:row>14</xdr:row>
      <xdr:rowOff>296817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72F97F90-BB03-4F89-85FC-82F449CCF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7892" y="3202214"/>
          <a:ext cx="5501670" cy="3169436"/>
        </a:xfrm>
        <a:prstGeom prst="rect">
          <a:avLst/>
        </a:prstGeom>
      </xdr:spPr>
    </xdr:pic>
    <xdr:clientData/>
  </xdr:twoCellAnchor>
  <xdr:twoCellAnchor editAs="oneCell">
    <xdr:from>
      <xdr:col>7</xdr:col>
      <xdr:colOff>305405</xdr:colOff>
      <xdr:row>10</xdr:row>
      <xdr:rowOff>3024</xdr:rowOff>
    </xdr:from>
    <xdr:to>
      <xdr:col>13</xdr:col>
      <xdr:colOff>33118</xdr:colOff>
      <xdr:row>10</xdr:row>
      <xdr:rowOff>1112835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368C7FF-552C-4C6C-B4DD-16883378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4988" y="4405691"/>
          <a:ext cx="6426963" cy="1109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143397</xdr:colOff>
      <xdr:row>35</xdr:row>
      <xdr:rowOff>0</xdr:rowOff>
    </xdr:from>
    <xdr:to>
      <xdr:col>9</xdr:col>
      <xdr:colOff>146572</xdr:colOff>
      <xdr:row>44</xdr:row>
      <xdr:rowOff>52303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E71FC8-B3E7-4DF0-84CC-3726EAB23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6247" y="14585950"/>
          <a:ext cx="3175" cy="1991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0</xdr:row>
      <xdr:rowOff>63499</xdr:rowOff>
    </xdr:from>
    <xdr:to>
      <xdr:col>13</xdr:col>
      <xdr:colOff>1058333</xdr:colOff>
      <xdr:row>5</xdr:row>
      <xdr:rowOff>203295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C92D018-E0DD-4EDC-A6E8-8C6B2DEBF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5083" y="63499"/>
          <a:ext cx="14478000" cy="2690379"/>
        </a:xfrm>
        <a:prstGeom prst="rect">
          <a:avLst/>
        </a:prstGeom>
      </xdr:spPr>
    </xdr:pic>
    <xdr:clientData/>
  </xdr:twoCellAnchor>
  <xdr:twoCellAnchor>
    <xdr:from>
      <xdr:col>3</xdr:col>
      <xdr:colOff>709083</xdr:colOff>
      <xdr:row>1</xdr:row>
      <xdr:rowOff>571499</xdr:rowOff>
    </xdr:from>
    <xdr:to>
      <xdr:col>13</xdr:col>
      <xdr:colOff>230384</xdr:colOff>
      <xdr:row>3</xdr:row>
      <xdr:rowOff>197215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3D706DC5-86EC-4BF5-BC16-1A2330951FF9}"/>
            </a:ext>
          </a:extLst>
        </xdr:cNvPr>
        <xdr:cNvSpPr/>
      </xdr:nvSpPr>
      <xdr:spPr>
        <a:xfrm>
          <a:off x="2804583" y="772582"/>
          <a:ext cx="11300551" cy="153071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3500" b="1" cap="none" spc="0">
              <a:ln w="0">
                <a:solidFill>
                  <a:schemeClr val="bg1">
                    <a:lumMod val="65000"/>
                  </a:schemeClr>
                </a:solidFill>
              </a:ln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SISTEMA FLOWFRESH COVE</a:t>
          </a:r>
        </a:p>
        <a:p>
          <a:pPr algn="ctr"/>
          <a:r>
            <a:rPr lang="es-ES" sz="3000" b="0" cap="none" spc="0" baseline="0">
              <a:ln w="0">
                <a:solidFill>
                  <a:schemeClr val="bg1">
                    <a:lumMod val="65000"/>
                  </a:schemeClr>
                </a:solidFill>
              </a:ln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Media Caña Uretano Cemento como RECUBRIMIENTO</a:t>
          </a:r>
          <a:endParaRPr lang="es-ES" sz="3000" b="0" cap="none" spc="0">
            <a:ln w="0">
              <a:solidFill>
                <a:schemeClr val="bg1">
                  <a:lumMod val="65000"/>
                </a:schemeClr>
              </a:solidFill>
            </a:ln>
            <a:solidFill>
              <a:schemeClr val="bg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613832</xdr:colOff>
      <xdr:row>8</xdr:row>
      <xdr:rowOff>54429</xdr:rowOff>
    </xdr:from>
    <xdr:to>
      <xdr:col>12</xdr:col>
      <xdr:colOff>903216</xdr:colOff>
      <xdr:row>8</xdr:row>
      <xdr:rowOff>1164240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9DF190-9E2B-496C-9017-2B442B4C0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0165" y="4033762"/>
          <a:ext cx="6427719" cy="1109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143630</xdr:colOff>
      <xdr:row>6</xdr:row>
      <xdr:rowOff>30222</xdr:rowOff>
    </xdr:from>
    <xdr:to>
      <xdr:col>5</xdr:col>
      <xdr:colOff>459619</xdr:colOff>
      <xdr:row>12</xdr:row>
      <xdr:rowOff>181578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6C1963A-031A-4DCC-8AC8-932D9CB7B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0130" y="2792472"/>
          <a:ext cx="4393596" cy="2977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143397</xdr:colOff>
      <xdr:row>33</xdr:row>
      <xdr:rowOff>0</xdr:rowOff>
    </xdr:from>
    <xdr:to>
      <xdr:col>9</xdr:col>
      <xdr:colOff>146572</xdr:colOff>
      <xdr:row>42</xdr:row>
      <xdr:rowOff>80879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41D58F7-07CB-4572-B749-950107E1B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3347" y="14617700"/>
          <a:ext cx="3175" cy="2019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137583</xdr:colOff>
      <xdr:row>0</xdr:row>
      <xdr:rowOff>84668</xdr:rowOff>
    </xdr:from>
    <xdr:to>
      <xdr:col>13</xdr:col>
      <xdr:colOff>1111250</xdr:colOff>
      <xdr:row>5</xdr:row>
      <xdr:rowOff>65165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BE07BCD-8187-4261-8037-B277CBDA7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0" y="84668"/>
          <a:ext cx="13620750" cy="2531080"/>
        </a:xfrm>
        <a:prstGeom prst="rect">
          <a:avLst/>
        </a:prstGeom>
      </xdr:spPr>
    </xdr:pic>
    <xdr:clientData/>
  </xdr:twoCellAnchor>
  <xdr:twoCellAnchor>
    <xdr:from>
      <xdr:col>3</xdr:col>
      <xdr:colOff>656167</xdr:colOff>
      <xdr:row>1</xdr:row>
      <xdr:rowOff>592667</xdr:rowOff>
    </xdr:from>
    <xdr:to>
      <xdr:col>13</xdr:col>
      <xdr:colOff>471439</xdr:colOff>
      <xdr:row>3</xdr:row>
      <xdr:rowOff>120780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9913E424-604B-4221-8F36-5A34607B29AA}"/>
            </a:ext>
          </a:extLst>
        </xdr:cNvPr>
        <xdr:cNvSpPr/>
      </xdr:nvSpPr>
      <xdr:spPr>
        <a:xfrm>
          <a:off x="2730500" y="793750"/>
          <a:ext cx="10631439" cy="143311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3500" b="1" cap="none" spc="0">
              <a:ln w="0">
                <a:solidFill>
                  <a:schemeClr val="bg1">
                    <a:lumMod val="65000"/>
                  </a:schemeClr>
                </a:solidFill>
              </a:ln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SISTEMA FLOWFRESH COVE</a:t>
          </a:r>
        </a:p>
        <a:p>
          <a:pPr algn="ctr"/>
          <a:r>
            <a:rPr lang="es-ES" sz="3000" b="0" cap="none" spc="0" baseline="0">
              <a:ln w="0">
                <a:solidFill>
                  <a:schemeClr val="bg1">
                    <a:lumMod val="65000"/>
                  </a:schemeClr>
                </a:solidFill>
              </a:ln>
              <a:solidFill>
                <a:schemeClr val="bg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Media Caña Uretano Cemento como Bordillo</a:t>
          </a:r>
          <a:endParaRPr lang="es-ES" sz="3000" b="0" cap="none" spc="0">
            <a:ln w="0">
              <a:solidFill>
                <a:schemeClr val="bg1">
                  <a:lumMod val="65000"/>
                </a:schemeClr>
              </a:solidFill>
            </a:ln>
            <a:solidFill>
              <a:schemeClr val="bg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Century Gothic" panose="020B0502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looring%20Info/SIMULADOR%20SISTEMAS%20MONOPUR%20INDUSTRY%20-%20(Version%20Febrero%20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ta Survey"/>
      <sheetName val="SURVEY"/>
      <sheetName val="Seleccion Sistema"/>
      <sheetName val="CODIGOS"/>
      <sheetName val="DATA"/>
      <sheetName val="Monopur Trafico Pesado"/>
      <sheetName val="Monopur Trafico Liviano"/>
      <sheetName val="Cove System Completa"/>
      <sheetName val="Cove System Recubrimiento"/>
      <sheetName val="Cove System Bordillo"/>
    </sheetNames>
    <sheetDataSet>
      <sheetData sheetId="0"/>
      <sheetData sheetId="1"/>
      <sheetData sheetId="2"/>
      <sheetData sheetId="3"/>
      <sheetData sheetId="4">
        <row r="46">
          <cell r="B46" t="str">
            <v>Flowfresh FC (Sello Mate)</v>
          </cell>
          <cell r="C46">
            <v>7940</v>
          </cell>
          <cell r="D46">
            <v>437000</v>
          </cell>
          <cell r="E46" t="str">
            <v>Kit x 32 Lb - 15,4 kg</v>
          </cell>
          <cell r="F46">
            <v>22.2</v>
          </cell>
          <cell r="G46" t="str">
            <v>120 Ft2/Unidad</v>
          </cell>
          <cell r="H46">
            <v>2</v>
          </cell>
        </row>
        <row r="47">
          <cell r="B47" t="str">
            <v>Flowfresh FC UV (Sello Mate UV)
Superficie Lisa</v>
          </cell>
          <cell r="C47">
            <v>7899</v>
          </cell>
          <cell r="D47">
            <v>1101128</v>
          </cell>
          <cell r="E47" t="str">
            <v>Kit x  23,8 Lb</v>
          </cell>
          <cell r="F47">
            <v>27</v>
          </cell>
          <cell r="G47" t="str">
            <v>230 Ft2/Unidad</v>
          </cell>
          <cell r="H47">
            <v>1</v>
          </cell>
        </row>
        <row r="48">
          <cell r="B48" t="str">
            <v>Flowfresh FC UV (Sello Mate UV)
Superficie Rugosa</v>
          </cell>
          <cell r="C48">
            <v>7899</v>
          </cell>
          <cell r="D48">
            <v>1101128</v>
          </cell>
          <cell r="E48" t="str">
            <v>Kit x  23,8 Lb</v>
          </cell>
          <cell r="F48">
            <v>21.4</v>
          </cell>
          <cell r="G48">
            <v>0</v>
          </cell>
          <cell r="H48">
            <v>1</v>
          </cell>
        </row>
        <row r="49">
          <cell r="B49" t="str">
            <v>Flowfresh SR Sealer (Brillante)
Superficie Rugosa</v>
          </cell>
          <cell r="C49">
            <v>4015</v>
          </cell>
          <cell r="D49">
            <v>365500</v>
          </cell>
          <cell r="E49" t="str">
            <v>Kit x 1,5 Gal  -  
Unid x 17 Lb</v>
          </cell>
          <cell r="F49">
            <v>11.1</v>
          </cell>
          <cell r="G49" t="str">
            <v>120  Ft2/Unidad</v>
          </cell>
          <cell r="H49">
            <v>1</v>
          </cell>
        </row>
        <row r="50">
          <cell r="B50" t="str">
            <v>Flowcoat CR (Resistencia Quimica)</v>
          </cell>
          <cell r="C50">
            <v>4531</v>
          </cell>
          <cell r="D50">
            <v>1250000</v>
          </cell>
          <cell r="E50" t="str">
            <v>Unid x 3 Gal</v>
          </cell>
          <cell r="F50">
            <v>22.2</v>
          </cell>
          <cell r="G50" t="str">
            <v>80 Ft2/Gal</v>
          </cell>
          <cell r="H50">
            <v>0</v>
          </cell>
        </row>
        <row r="51">
          <cell r="B51" t="str">
            <v>Flowseal PA</v>
          </cell>
          <cell r="C51">
            <v>7431</v>
          </cell>
          <cell r="D51">
            <v>1199000</v>
          </cell>
          <cell r="E51" t="str">
            <v>Unid x 3 Gal</v>
          </cell>
          <cell r="F51">
            <v>27.87</v>
          </cell>
          <cell r="G51">
            <v>0</v>
          </cell>
          <cell r="H51">
            <v>0</v>
          </cell>
        </row>
        <row r="52">
          <cell r="B52" t="str">
            <v>Flowseal UV</v>
          </cell>
          <cell r="C52">
            <v>0</v>
          </cell>
          <cell r="D52">
            <v>875000</v>
          </cell>
          <cell r="E52" t="str">
            <v>Unidad x 2 Gal</v>
          </cell>
          <cell r="F52">
            <v>37.1</v>
          </cell>
          <cell r="G52">
            <v>0</v>
          </cell>
          <cell r="H52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orras, Lizeth" id="{DBC67373-5ACC-44CF-BFAB-FF437CED03B8}" userId="S::lizethporras@euclidchemical.com.co::2606a52d-a780-428c-90c6-876a5ca930f2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62" dT="2020-12-17T00:48:52.88" personId="{DBC67373-5ACC-44CF-BFAB-FF437CED03B8}" id="{ED4B37F4-310C-4018-AB98-62EAD2FFCA26}">
    <text>NO MOVER FORMULA</text>
  </threadedComment>
  <threadedComment ref="W62" dT="2020-12-17T00:48:58.24" personId="{DBC67373-5ACC-44CF-BFAB-FF437CED03B8}" id="{062910F1-C4D8-4774-8487-22C3D206BC5B}">
    <text>NO MOVER FORMULA</text>
  </threadedComment>
  <threadedComment ref="V64" dT="2020-12-17T00:48:20.78" personId="{DBC67373-5ACC-44CF-BFAB-FF437CED03B8}" id="{7D9B30B4-2429-417C-A8D2-E41762DED828}">
    <text>NO MOVER FORMULA</text>
  </threadedComment>
  <threadedComment ref="W64" dT="2020-12-17T00:47:46.08" personId="{DBC67373-5ACC-44CF-BFAB-FF437CED03B8}" id="{E7E71B58-500D-4440-9109-5DAB9027BCC9}">
    <text>NO MOVER FORMULA</text>
  </threadedComment>
  <threadedComment ref="V65" dT="2020-12-17T00:48:27.52" personId="{DBC67373-5ACC-44CF-BFAB-FF437CED03B8}" id="{8F193749-F550-4E14-8424-890E9DC49F54}">
    <text>NO MOVER FORMULA</text>
  </threadedComment>
  <threadedComment ref="V66" dT="2020-12-17T00:48:36.05" personId="{DBC67373-5ACC-44CF-BFAB-FF437CED03B8}" id="{1167FDCC-3219-4034-ADEE-12EA218E00B2}">
    <text>NO MOVER FORMULA</text>
  </threadedComment>
  <threadedComment ref="U75" dT="2020-12-17T00:49:05.99" personId="{DBC67373-5ACC-44CF-BFAB-FF437CED03B8}" id="{12DDA9A7-6290-4460-8B1B-452BAFCD9480}">
    <text>NO MOVER FORMULA</text>
  </threadedComment>
  <threadedComment ref="V75" dT="2020-12-17T00:49:11.51" personId="{DBC67373-5ACC-44CF-BFAB-FF437CED03B8}" id="{3907B345-D7D6-4587-B84C-022E27A0C43D}">
    <text>NO MOVER FORMULA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oxement.com.co/media/3760/brochure_flowcrete-compressed.pdf" TargetMode="External"/><Relationship Id="rId2" Type="http://schemas.openxmlformats.org/officeDocument/2006/relationships/hyperlink" Target="http://www.toxement.com.co/media/4595/tabla-de-resistencia-qui-mica-flowcrete.pdf" TargetMode="External"/><Relationship Id="rId1" Type="http://schemas.openxmlformats.org/officeDocument/2006/relationships/hyperlink" Target="http://www.toxement.com.co/media/3135/flowfresh-hf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toxement.com.co/media/4602/web-flowfresh-2d-plus-3d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oxement.com.co/media/4602/web-flowfresh-2d-plus-3d.pdf" TargetMode="External"/><Relationship Id="rId2" Type="http://schemas.openxmlformats.org/officeDocument/2006/relationships/hyperlink" Target="http://www.toxement.com.co/media/3760/brochure_flowcrete-compressed.pdf" TargetMode="External"/><Relationship Id="rId1" Type="http://schemas.openxmlformats.org/officeDocument/2006/relationships/hyperlink" Target="http://www.toxement.com.co/media/4595/tabla-de-resistencia-qui-mica-flowcrete.pdf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oxement.com.co/media/4606/web-monopur-2d-plus-3d.pdf" TargetMode="External"/><Relationship Id="rId2" Type="http://schemas.openxmlformats.org/officeDocument/2006/relationships/hyperlink" Target="https://www.toxement.com.co/media/4594/tabla-de-resistencia-quimica-monopur.pdf" TargetMode="External"/><Relationship Id="rId1" Type="http://schemas.openxmlformats.org/officeDocument/2006/relationships/hyperlink" Target="https://www.toxement.com.co/media/4547/pisos-industriales_-mono-primer-gc.pdf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toxement.com.co/media/4549/pisos-industriales_-monopur-industry-cove-system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oxement.com.co/media/4606/web-monopur-2d-plus-3d.pdf" TargetMode="External"/><Relationship Id="rId2" Type="http://schemas.openxmlformats.org/officeDocument/2006/relationships/hyperlink" Target="https://www.toxement.com.co/media/4594/tabla-de-resistencia-quimica-monopur.pdf" TargetMode="External"/><Relationship Id="rId1" Type="http://schemas.openxmlformats.org/officeDocument/2006/relationships/hyperlink" Target="https://www.toxement.com.co/media/4547/pisos-industriales_-mono-primer-gc.pdf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www.toxement.com.co/media/4549/pisos-industriales_-monopur-industry-cove-system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oxement.com.co/media/4606/web-monopur-2d-plus-3d.pdf" TargetMode="External"/><Relationship Id="rId2" Type="http://schemas.openxmlformats.org/officeDocument/2006/relationships/hyperlink" Target="https://www.toxement.com.co/media/4594/tabla-de-resistencia-quimica-monopur.pdf" TargetMode="External"/><Relationship Id="rId1" Type="http://schemas.openxmlformats.org/officeDocument/2006/relationships/hyperlink" Target="https://www.toxement.com.co/media/4547/pisos-industriales_-mono-primer-gc.pdf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www.toxement.com.co/media/4549/pisos-industriales_-monopur-industry-cove-syste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"/>
  <sheetViews>
    <sheetView workbookViewId="0">
      <selection activeCell="A17" sqref="A17:A19"/>
    </sheetView>
  </sheetViews>
  <sheetFormatPr baseColWidth="10" defaultRowHeight="14.5" x14ac:dyDescent="0.35"/>
  <cols>
    <col min="1" max="1" width="30.54296875" bestFit="1" customWidth="1"/>
    <col min="2" max="2" width="16.54296875" bestFit="1" customWidth="1"/>
    <col min="3" max="3" width="9.1796875" bestFit="1" customWidth="1"/>
    <col min="4" max="4" width="30" bestFit="1" customWidth="1"/>
    <col min="5" max="5" width="10.1796875" bestFit="1" customWidth="1"/>
    <col min="6" max="6" width="9" bestFit="1" customWidth="1"/>
    <col min="7" max="7" width="10" bestFit="1" customWidth="1"/>
    <col min="8" max="8" width="9" bestFit="1" customWidth="1"/>
    <col min="9" max="9" width="10" bestFit="1" customWidth="1"/>
  </cols>
  <sheetData>
    <row r="1" spans="1:9" ht="19" thickBot="1" x14ac:dyDescent="0.5">
      <c r="A1" s="92" t="s">
        <v>62</v>
      </c>
    </row>
    <row r="2" spans="1:9" ht="18.75" customHeight="1" x14ac:dyDescent="0.35">
      <c r="A2" s="466" t="s">
        <v>114</v>
      </c>
      <c r="B2" s="468" t="s">
        <v>115</v>
      </c>
      <c r="C2" s="470" t="s">
        <v>116</v>
      </c>
      <c r="D2" s="471"/>
      <c r="E2" s="472"/>
    </row>
    <row r="3" spans="1:9" ht="15" thickBot="1" x14ac:dyDescent="0.4">
      <c r="A3" s="467"/>
      <c r="B3" s="469"/>
      <c r="C3" s="93" t="s">
        <v>117</v>
      </c>
      <c r="D3" s="94" t="s">
        <v>118</v>
      </c>
      <c r="E3" s="95" t="s">
        <v>119</v>
      </c>
      <c r="F3" s="96"/>
      <c r="G3" s="96"/>
      <c r="H3" s="96"/>
      <c r="I3" s="96"/>
    </row>
    <row r="4" spans="1:9" x14ac:dyDescent="0.35">
      <c r="A4" s="453" t="s">
        <v>120</v>
      </c>
      <c r="B4" s="456" t="s">
        <v>121</v>
      </c>
      <c r="C4" s="106" t="s">
        <v>122</v>
      </c>
      <c r="D4" s="107" t="s">
        <v>123</v>
      </c>
      <c r="E4" s="108">
        <v>1</v>
      </c>
    </row>
    <row r="5" spans="1:9" ht="15" thickBot="1" x14ac:dyDescent="0.4">
      <c r="A5" s="454"/>
      <c r="B5" s="457"/>
      <c r="C5" s="109" t="s">
        <v>124</v>
      </c>
      <c r="D5" s="110" t="s">
        <v>125</v>
      </c>
      <c r="E5" s="111">
        <v>1</v>
      </c>
    </row>
    <row r="6" spans="1:9" x14ac:dyDescent="0.35">
      <c r="A6" s="465" t="s">
        <v>126</v>
      </c>
      <c r="B6" s="462" t="s">
        <v>127</v>
      </c>
      <c r="C6" s="97" t="s">
        <v>128</v>
      </c>
      <c r="D6" s="98" t="s">
        <v>129</v>
      </c>
      <c r="E6" s="99">
        <v>1</v>
      </c>
    </row>
    <row r="7" spans="1:9" ht="15" thickBot="1" x14ac:dyDescent="0.4">
      <c r="A7" s="460"/>
      <c r="B7" s="463"/>
      <c r="C7" s="100" t="s">
        <v>130</v>
      </c>
      <c r="D7" s="101" t="s">
        <v>131</v>
      </c>
      <c r="E7" s="102">
        <v>1</v>
      </c>
    </row>
    <row r="8" spans="1:9" ht="15" thickBot="1" x14ac:dyDescent="0.4">
      <c r="A8" s="453" t="s">
        <v>132</v>
      </c>
      <c r="B8" s="456" t="s">
        <v>133</v>
      </c>
      <c r="C8" s="106" t="s">
        <v>134</v>
      </c>
      <c r="D8" s="107" t="s">
        <v>135</v>
      </c>
      <c r="E8" s="108">
        <v>1</v>
      </c>
    </row>
    <row r="9" spans="1:9" x14ac:dyDescent="0.35">
      <c r="A9" s="454"/>
      <c r="B9" s="457"/>
      <c r="C9" s="109" t="s">
        <v>136</v>
      </c>
      <c r="D9" s="107" t="s">
        <v>137</v>
      </c>
      <c r="E9" s="111">
        <v>1</v>
      </c>
    </row>
    <row r="10" spans="1:9" ht="15" thickBot="1" x14ac:dyDescent="0.4">
      <c r="A10" s="455"/>
      <c r="B10" s="458"/>
      <c r="C10" s="112" t="s">
        <v>138</v>
      </c>
      <c r="D10" s="113" t="s">
        <v>139</v>
      </c>
      <c r="E10" s="114">
        <v>1</v>
      </c>
    </row>
    <row r="11" spans="1:9" x14ac:dyDescent="0.35">
      <c r="A11" s="465" t="s">
        <v>189</v>
      </c>
      <c r="B11" s="462" t="s">
        <v>140</v>
      </c>
      <c r="C11" s="97" t="s">
        <v>128</v>
      </c>
      <c r="D11" s="98" t="s">
        <v>129</v>
      </c>
      <c r="E11" s="99">
        <v>2</v>
      </c>
    </row>
    <row r="12" spans="1:9" x14ac:dyDescent="0.35">
      <c r="A12" s="460"/>
      <c r="B12" s="463"/>
      <c r="C12" s="100" t="s">
        <v>130</v>
      </c>
      <c r="D12" s="101" t="s">
        <v>131</v>
      </c>
      <c r="E12" s="102">
        <v>2</v>
      </c>
    </row>
    <row r="13" spans="1:9" ht="15" thickBot="1" x14ac:dyDescent="0.4">
      <c r="A13" s="461"/>
      <c r="B13" s="464"/>
      <c r="C13" s="103" t="s">
        <v>141</v>
      </c>
      <c r="D13" s="104" t="s">
        <v>142</v>
      </c>
      <c r="E13" s="105">
        <v>2</v>
      </c>
    </row>
    <row r="14" spans="1:9" x14ac:dyDescent="0.35">
      <c r="A14" s="453" t="s">
        <v>190</v>
      </c>
      <c r="B14" s="456" t="s">
        <v>143</v>
      </c>
      <c r="C14" s="106" t="s">
        <v>128</v>
      </c>
      <c r="D14" s="107" t="s">
        <v>129</v>
      </c>
      <c r="E14" s="108">
        <v>2</v>
      </c>
    </row>
    <row r="15" spans="1:9" x14ac:dyDescent="0.35">
      <c r="A15" s="454"/>
      <c r="B15" s="457"/>
      <c r="C15" s="109" t="s">
        <v>130</v>
      </c>
      <c r="D15" s="110" t="s">
        <v>131</v>
      </c>
      <c r="E15" s="111">
        <v>2</v>
      </c>
    </row>
    <row r="16" spans="1:9" ht="15" thickBot="1" x14ac:dyDescent="0.4">
      <c r="A16" s="455"/>
      <c r="B16" s="458"/>
      <c r="C16" s="112" t="s">
        <v>144</v>
      </c>
      <c r="D16" s="113" t="s">
        <v>145</v>
      </c>
      <c r="E16" s="114">
        <v>2</v>
      </c>
    </row>
    <row r="17" spans="1:5" x14ac:dyDescent="0.35">
      <c r="A17" s="465" t="s">
        <v>146</v>
      </c>
      <c r="B17" s="462" t="s">
        <v>147</v>
      </c>
      <c r="C17" s="97" t="s">
        <v>128</v>
      </c>
      <c r="D17" s="98" t="s">
        <v>129</v>
      </c>
      <c r="E17" s="99">
        <v>2</v>
      </c>
    </row>
    <row r="18" spans="1:5" x14ac:dyDescent="0.35">
      <c r="A18" s="460"/>
      <c r="B18" s="463"/>
      <c r="C18" s="100" t="s">
        <v>130</v>
      </c>
      <c r="D18" s="101" t="s">
        <v>131</v>
      </c>
      <c r="E18" s="102">
        <v>2</v>
      </c>
    </row>
    <row r="19" spans="1:5" ht="15" thickBot="1" x14ac:dyDescent="0.4">
      <c r="A19" s="461"/>
      <c r="B19" s="464"/>
      <c r="C19" s="103" t="s">
        <v>148</v>
      </c>
      <c r="D19" s="104" t="s">
        <v>149</v>
      </c>
      <c r="E19" s="105">
        <v>2</v>
      </c>
    </row>
    <row r="20" spans="1:5" x14ac:dyDescent="0.35">
      <c r="A20" s="453" t="s">
        <v>150</v>
      </c>
      <c r="B20" s="456" t="s">
        <v>151</v>
      </c>
      <c r="C20" s="106" t="s">
        <v>128</v>
      </c>
      <c r="D20" s="107" t="s">
        <v>129</v>
      </c>
      <c r="E20" s="108">
        <v>2</v>
      </c>
    </row>
    <row r="21" spans="1:5" x14ac:dyDescent="0.35">
      <c r="A21" s="454"/>
      <c r="B21" s="457"/>
      <c r="C21" s="109" t="s">
        <v>130</v>
      </c>
      <c r="D21" s="110" t="s">
        <v>131</v>
      </c>
      <c r="E21" s="111">
        <v>2</v>
      </c>
    </row>
    <row r="22" spans="1:5" ht="15" thickBot="1" x14ac:dyDescent="0.4">
      <c r="A22" s="455"/>
      <c r="B22" s="458"/>
      <c r="C22" s="112" t="s">
        <v>152</v>
      </c>
      <c r="D22" s="113" t="s">
        <v>153</v>
      </c>
      <c r="E22" s="114">
        <v>2</v>
      </c>
    </row>
    <row r="23" spans="1:5" x14ac:dyDescent="0.35">
      <c r="A23" s="465" t="s">
        <v>154</v>
      </c>
      <c r="B23" s="462" t="s">
        <v>155</v>
      </c>
      <c r="C23" s="97" t="s">
        <v>128</v>
      </c>
      <c r="D23" s="98" t="s">
        <v>129</v>
      </c>
      <c r="E23" s="99">
        <v>2</v>
      </c>
    </row>
    <row r="24" spans="1:5" x14ac:dyDescent="0.35">
      <c r="A24" s="460"/>
      <c r="B24" s="463"/>
      <c r="C24" s="100" t="s">
        <v>130</v>
      </c>
      <c r="D24" s="101" t="s">
        <v>131</v>
      </c>
      <c r="E24" s="102">
        <v>2</v>
      </c>
    </row>
    <row r="25" spans="1:5" ht="15" thickBot="1" x14ac:dyDescent="0.4">
      <c r="A25" s="461"/>
      <c r="B25" s="464"/>
      <c r="C25" s="103" t="s">
        <v>156</v>
      </c>
      <c r="D25" s="104" t="s">
        <v>157</v>
      </c>
      <c r="E25" s="105">
        <v>1</v>
      </c>
    </row>
    <row r="26" spans="1:5" x14ac:dyDescent="0.35">
      <c r="A26" s="453" t="s">
        <v>158</v>
      </c>
      <c r="B26" s="456" t="s">
        <v>159</v>
      </c>
      <c r="C26" s="106" t="s">
        <v>128</v>
      </c>
      <c r="D26" s="107" t="s">
        <v>129</v>
      </c>
      <c r="E26" s="108">
        <v>2</v>
      </c>
    </row>
    <row r="27" spans="1:5" x14ac:dyDescent="0.35">
      <c r="A27" s="454"/>
      <c r="B27" s="457"/>
      <c r="C27" s="109" t="s">
        <v>130</v>
      </c>
      <c r="D27" s="110" t="s">
        <v>131</v>
      </c>
      <c r="E27" s="111">
        <v>2</v>
      </c>
    </row>
    <row r="28" spans="1:5" ht="15" thickBot="1" x14ac:dyDescent="0.4">
      <c r="A28" s="455"/>
      <c r="B28" s="458"/>
      <c r="C28" s="112" t="s">
        <v>160</v>
      </c>
      <c r="D28" s="113" t="s">
        <v>161</v>
      </c>
      <c r="E28" s="114">
        <v>1</v>
      </c>
    </row>
    <row r="29" spans="1:5" x14ac:dyDescent="0.35">
      <c r="A29" s="459" t="s">
        <v>162</v>
      </c>
      <c r="B29" s="462" t="s">
        <v>163</v>
      </c>
      <c r="C29" s="97" t="s">
        <v>128</v>
      </c>
      <c r="D29" s="98" t="s">
        <v>129</v>
      </c>
      <c r="E29" s="99">
        <v>1</v>
      </c>
    </row>
    <row r="30" spans="1:5" x14ac:dyDescent="0.35">
      <c r="A30" s="460"/>
      <c r="B30" s="463"/>
      <c r="C30" s="100" t="s">
        <v>130</v>
      </c>
      <c r="D30" s="101" t="s">
        <v>131</v>
      </c>
      <c r="E30" s="102">
        <v>1</v>
      </c>
    </row>
    <row r="31" spans="1:5" ht="15" thickBot="1" x14ac:dyDescent="0.4">
      <c r="A31" s="461"/>
      <c r="B31" s="464"/>
      <c r="C31" s="103" t="s">
        <v>164</v>
      </c>
      <c r="D31" s="104" t="s">
        <v>165</v>
      </c>
      <c r="E31" s="105">
        <v>2</v>
      </c>
    </row>
    <row r="32" spans="1:5" x14ac:dyDescent="0.35">
      <c r="A32" s="453" t="s">
        <v>166</v>
      </c>
      <c r="B32" s="456" t="s">
        <v>167</v>
      </c>
      <c r="C32" s="106" t="s">
        <v>128</v>
      </c>
      <c r="D32" s="107" t="s">
        <v>129</v>
      </c>
      <c r="E32" s="108">
        <v>2</v>
      </c>
    </row>
    <row r="33" spans="1:5" x14ac:dyDescent="0.35">
      <c r="A33" s="454"/>
      <c r="B33" s="457"/>
      <c r="C33" s="109" t="s">
        <v>130</v>
      </c>
      <c r="D33" s="110" t="s">
        <v>131</v>
      </c>
      <c r="E33" s="111">
        <v>2</v>
      </c>
    </row>
    <row r="34" spans="1:5" ht="15" thickBot="1" x14ac:dyDescent="0.4">
      <c r="A34" s="455"/>
      <c r="B34" s="458"/>
      <c r="C34" s="112" t="s">
        <v>168</v>
      </c>
      <c r="D34" s="113" t="s">
        <v>169</v>
      </c>
      <c r="E34" s="114">
        <v>2</v>
      </c>
    </row>
  </sheetData>
  <sheetProtection algorithmName="SHA-512" hashValue="ewHQDSPMrBa9sXbMwpLwOlP7PylI3sn2MNVM3QK7MoCUNkhBNnRqqfZo9x0F/ItyUuPPHZcVc7ZiBEQnWSUqIA==" saltValue="ltkhKQndv9YZopMRrsLFDg==" spinCount="100000" sheet="1" objects="1" scenarios="1"/>
  <mergeCells count="25">
    <mergeCell ref="A6:A7"/>
    <mergeCell ref="B6:B7"/>
    <mergeCell ref="A2:A3"/>
    <mergeCell ref="B2:B3"/>
    <mergeCell ref="C2:E2"/>
    <mergeCell ref="A4:A5"/>
    <mergeCell ref="B4:B5"/>
    <mergeCell ref="A8:A10"/>
    <mergeCell ref="B8:B10"/>
    <mergeCell ref="A11:A13"/>
    <mergeCell ref="B11:B13"/>
    <mergeCell ref="A14:A16"/>
    <mergeCell ref="B14:B16"/>
    <mergeCell ref="A17:A19"/>
    <mergeCell ref="B17:B19"/>
    <mergeCell ref="A20:A22"/>
    <mergeCell ref="B20:B22"/>
    <mergeCell ref="A23:A25"/>
    <mergeCell ref="B23:B25"/>
    <mergeCell ref="A26:A28"/>
    <mergeCell ref="B26:B28"/>
    <mergeCell ref="A29:A31"/>
    <mergeCell ref="B29:B31"/>
    <mergeCell ref="A32:A34"/>
    <mergeCell ref="B32:B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98"/>
  <sheetViews>
    <sheetView topLeftCell="B57" zoomScale="40" zoomScaleNormal="40" workbookViewId="0">
      <selection activeCell="C57" sqref="C1:Z1048576"/>
    </sheetView>
  </sheetViews>
  <sheetFormatPr baseColWidth="10" defaultRowHeight="14.5" x14ac:dyDescent="0.35"/>
  <cols>
    <col min="1" max="1" width="23.36328125" hidden="1" customWidth="1"/>
    <col min="2" max="2" width="23.36328125" customWidth="1"/>
    <col min="3" max="3" width="43" hidden="1" customWidth="1"/>
    <col min="4" max="4" width="17.54296875" style="11" hidden="1" customWidth="1"/>
    <col min="5" max="5" width="16.90625" style="11" hidden="1" customWidth="1"/>
    <col min="6" max="6" width="22.7265625" style="11" hidden="1" customWidth="1"/>
    <col min="7" max="7" width="26.81640625" style="11" hidden="1" customWidth="1"/>
    <col min="8" max="8" width="21.1796875" style="11" hidden="1" customWidth="1"/>
    <col min="9" max="9" width="11.7265625" hidden="1" customWidth="1"/>
    <col min="10" max="10" width="19.26953125" style="11" hidden="1" customWidth="1"/>
    <col min="11" max="11" width="17.6328125" style="11" hidden="1" customWidth="1"/>
    <col min="12" max="13" width="20.6328125" style="11" hidden="1" customWidth="1"/>
    <col min="14" max="14" width="20.08984375" hidden="1" customWidth="1"/>
    <col min="15" max="15" width="33" style="11" hidden="1" customWidth="1"/>
    <col min="16" max="16" width="23.1796875" hidden="1" customWidth="1"/>
    <col min="17" max="17" width="43.26953125" hidden="1" customWidth="1"/>
    <col min="18" max="19" width="12.7265625" hidden="1" customWidth="1"/>
    <col min="20" max="20" width="7.1796875" hidden="1" customWidth="1"/>
    <col min="21" max="21" width="17.90625" hidden="1" customWidth="1"/>
    <col min="22" max="22" width="19.1796875" hidden="1" customWidth="1"/>
    <col min="23" max="23" width="14.453125" hidden="1" customWidth="1"/>
    <col min="24" max="24" width="13.90625" hidden="1" customWidth="1"/>
    <col min="25" max="26" width="0" hidden="1" customWidth="1"/>
  </cols>
  <sheetData>
    <row r="2" spans="3:9" ht="15" thickBot="1" x14ac:dyDescent="0.4"/>
    <row r="3" spans="3:9" x14ac:dyDescent="0.35">
      <c r="C3" s="115" t="s">
        <v>64</v>
      </c>
      <c r="D3" s="116" t="s">
        <v>11</v>
      </c>
      <c r="E3" s="117" t="s">
        <v>6</v>
      </c>
      <c r="F3" s="118" t="s">
        <v>12</v>
      </c>
      <c r="G3" s="12"/>
    </row>
    <row r="4" spans="3:9" ht="16" x14ac:dyDescent="0.35">
      <c r="C4" s="182" t="s">
        <v>205</v>
      </c>
      <c r="D4" s="183">
        <v>5830</v>
      </c>
      <c r="E4" s="351">
        <v>17745</v>
      </c>
      <c r="F4" s="184" t="s">
        <v>229</v>
      </c>
    </row>
    <row r="5" spans="3:9" ht="16" x14ac:dyDescent="0.35">
      <c r="C5" s="182" t="s">
        <v>206</v>
      </c>
      <c r="D5" s="183">
        <v>5831</v>
      </c>
      <c r="E5" s="351">
        <v>8400</v>
      </c>
      <c r="F5" s="184" t="s">
        <v>229</v>
      </c>
    </row>
    <row r="6" spans="3:9" ht="16" x14ac:dyDescent="0.35">
      <c r="C6" s="182" t="s">
        <v>207</v>
      </c>
      <c r="D6" s="183">
        <v>5832</v>
      </c>
      <c r="E6" s="351">
        <v>27300</v>
      </c>
      <c r="F6" s="184" t="s">
        <v>229</v>
      </c>
    </row>
    <row r="7" spans="3:9" ht="16" x14ac:dyDescent="0.35">
      <c r="C7" s="182" t="s">
        <v>208</v>
      </c>
      <c r="D7" s="183">
        <v>5833</v>
      </c>
      <c r="E7" s="351">
        <v>8400</v>
      </c>
      <c r="F7" s="184" t="s">
        <v>229</v>
      </c>
    </row>
    <row r="8" spans="3:9" ht="16" x14ac:dyDescent="0.35">
      <c r="C8" s="182" t="s">
        <v>209</v>
      </c>
      <c r="D8" s="183">
        <v>5834</v>
      </c>
      <c r="E8" s="351">
        <v>10185</v>
      </c>
      <c r="F8" s="184" t="s">
        <v>229</v>
      </c>
    </row>
    <row r="9" spans="3:9" ht="16" x14ac:dyDescent="0.35">
      <c r="C9" s="182" t="s">
        <v>210</v>
      </c>
      <c r="D9" s="183">
        <v>5835</v>
      </c>
      <c r="E9" s="351">
        <v>10996</v>
      </c>
      <c r="F9" s="184" t="s">
        <v>229</v>
      </c>
    </row>
    <row r="10" spans="3:9" ht="16.5" thickBot="1" x14ac:dyDescent="0.4">
      <c r="C10" s="185" t="s">
        <v>211</v>
      </c>
      <c r="D10" s="186">
        <v>5791</v>
      </c>
      <c r="E10" s="351">
        <f>E4</f>
        <v>17745</v>
      </c>
      <c r="F10" s="184" t="s">
        <v>229</v>
      </c>
    </row>
    <row r="11" spans="3:9" x14ac:dyDescent="0.35">
      <c r="C11" s="10"/>
      <c r="E11" s="9"/>
    </row>
    <row r="12" spans="3:9" ht="15" thickBot="1" x14ac:dyDescent="0.4"/>
    <row r="13" spans="3:9" ht="18.5" x14ac:dyDescent="0.45">
      <c r="C13" s="187" t="s">
        <v>65</v>
      </c>
      <c r="D13" s="188" t="s">
        <v>11</v>
      </c>
      <c r="E13" s="189" t="s">
        <v>6</v>
      </c>
      <c r="F13" s="189" t="s">
        <v>12</v>
      </c>
      <c r="G13" s="189" t="s">
        <v>301</v>
      </c>
      <c r="H13" s="190" t="s">
        <v>28</v>
      </c>
      <c r="I13" s="191"/>
    </row>
    <row r="14" spans="3:9" ht="18.5" x14ac:dyDescent="0.45">
      <c r="C14" s="192" t="s">
        <v>13</v>
      </c>
      <c r="D14" s="193">
        <v>4121</v>
      </c>
      <c r="E14" s="352">
        <v>705250</v>
      </c>
      <c r="F14" s="193" t="s">
        <v>19</v>
      </c>
      <c r="G14" s="193">
        <v>55.7</v>
      </c>
      <c r="H14" s="194">
        <v>1</v>
      </c>
      <c r="I14" s="191"/>
    </row>
    <row r="15" spans="3:9" ht="18.5" x14ac:dyDescent="0.45">
      <c r="C15" s="192" t="s">
        <v>27</v>
      </c>
      <c r="D15" s="193">
        <v>7940</v>
      </c>
      <c r="E15" s="352">
        <v>481740</v>
      </c>
      <c r="F15" s="193" t="s">
        <v>212</v>
      </c>
      <c r="G15" s="358">
        <v>32.6</v>
      </c>
      <c r="H15" s="194">
        <v>1</v>
      </c>
      <c r="I15" s="191"/>
    </row>
    <row r="16" spans="3:9" ht="19" thickBot="1" x14ac:dyDescent="0.5">
      <c r="C16" s="195" t="s">
        <v>308</v>
      </c>
      <c r="D16" s="196">
        <v>4016</v>
      </c>
      <c r="E16" s="352">
        <v>555000</v>
      </c>
      <c r="F16" s="196" t="s">
        <v>19</v>
      </c>
      <c r="G16" s="197"/>
      <c r="H16" s="198"/>
      <c r="I16" s="191"/>
    </row>
    <row r="17" spans="3:9" ht="19" thickBot="1" x14ac:dyDescent="0.5">
      <c r="C17" s="191"/>
      <c r="D17" s="200"/>
      <c r="E17" s="200"/>
      <c r="F17" s="200"/>
      <c r="G17" s="200"/>
      <c r="H17" s="200"/>
      <c r="I17" s="191"/>
    </row>
    <row r="18" spans="3:9" ht="18.5" x14ac:dyDescent="0.45">
      <c r="C18" s="187" t="s">
        <v>193</v>
      </c>
      <c r="D18" s="188" t="s">
        <v>14</v>
      </c>
      <c r="E18" s="189" t="s">
        <v>6</v>
      </c>
      <c r="F18" s="189" t="s">
        <v>12</v>
      </c>
      <c r="G18" s="201" t="s">
        <v>15</v>
      </c>
      <c r="H18" s="200"/>
      <c r="I18" s="191"/>
    </row>
    <row r="19" spans="3:9" ht="18.5" x14ac:dyDescent="0.45">
      <c r="C19" s="202" t="s">
        <v>16</v>
      </c>
      <c r="D19" s="193">
        <v>2014</v>
      </c>
      <c r="E19" s="352">
        <v>57900</v>
      </c>
      <c r="F19" s="193" t="s">
        <v>17</v>
      </c>
      <c r="G19" s="355">
        <v>0.15</v>
      </c>
      <c r="H19" s="200"/>
      <c r="I19" s="191"/>
    </row>
    <row r="20" spans="3:9" ht="18.5" x14ac:dyDescent="0.45">
      <c r="C20" s="202" t="s">
        <v>18</v>
      </c>
      <c r="D20" s="193">
        <v>2015</v>
      </c>
      <c r="E20" s="352">
        <v>57900</v>
      </c>
      <c r="F20" s="193" t="s">
        <v>17</v>
      </c>
      <c r="G20" s="355">
        <v>0.15</v>
      </c>
      <c r="H20" s="200"/>
      <c r="I20" s="191"/>
    </row>
    <row r="21" spans="3:9" ht="19" thickBot="1" x14ac:dyDescent="0.5">
      <c r="C21" s="203" t="s">
        <v>194</v>
      </c>
      <c r="D21" s="196">
        <v>3073</v>
      </c>
      <c r="E21" s="352">
        <v>57900</v>
      </c>
      <c r="F21" s="196" t="s">
        <v>17</v>
      </c>
      <c r="G21" s="356">
        <v>0.15</v>
      </c>
      <c r="H21" s="200"/>
      <c r="I21" s="191"/>
    </row>
    <row r="22" spans="3:9" ht="18.5" x14ac:dyDescent="0.45">
      <c r="C22" s="204"/>
      <c r="D22" s="199"/>
      <c r="E22" s="199"/>
      <c r="F22" s="199"/>
      <c r="G22" s="199"/>
      <c r="H22" s="200"/>
      <c r="I22" s="191"/>
    </row>
    <row r="23" spans="3:9" ht="19" thickBot="1" x14ac:dyDescent="0.5">
      <c r="C23" s="191"/>
      <c r="D23" s="200"/>
      <c r="E23" s="200"/>
      <c r="F23" s="200"/>
      <c r="G23" s="200"/>
      <c r="H23" s="200"/>
      <c r="I23" s="191"/>
    </row>
    <row r="24" spans="3:9" ht="19" thickBot="1" x14ac:dyDescent="0.5">
      <c r="C24" s="205" t="s">
        <v>66</v>
      </c>
      <c r="D24" s="206" t="s">
        <v>14</v>
      </c>
      <c r="E24" s="207" t="s">
        <v>6</v>
      </c>
      <c r="F24" s="207" t="s">
        <v>12</v>
      </c>
      <c r="G24" s="207" t="s">
        <v>299</v>
      </c>
      <c r="H24" s="208" t="s">
        <v>185</v>
      </c>
      <c r="I24" s="191"/>
    </row>
    <row r="25" spans="3:9" ht="21" customHeight="1" x14ac:dyDescent="0.45">
      <c r="C25" s="209" t="s">
        <v>16</v>
      </c>
      <c r="D25" s="210">
        <v>2014</v>
      </c>
      <c r="E25" s="353">
        <f>E19</f>
        <v>57900</v>
      </c>
      <c r="F25" s="210" t="s">
        <v>17</v>
      </c>
      <c r="G25" s="210">
        <v>20</v>
      </c>
      <c r="H25" s="211"/>
      <c r="I25" s="191"/>
    </row>
    <row r="26" spans="3:9" ht="18.5" customHeight="1" x14ac:dyDescent="0.45">
      <c r="C26" s="202" t="s">
        <v>18</v>
      </c>
      <c r="D26" s="193">
        <v>2015</v>
      </c>
      <c r="E26" s="353">
        <f t="shared" ref="E26:E27" si="0">E20</f>
        <v>57900</v>
      </c>
      <c r="F26" s="193" t="s">
        <v>17</v>
      </c>
      <c r="G26" s="193">
        <v>20</v>
      </c>
      <c r="H26" s="212"/>
      <c r="I26" s="191"/>
    </row>
    <row r="27" spans="3:9" ht="18.5" customHeight="1" x14ac:dyDescent="0.45">
      <c r="C27" s="202" t="s">
        <v>194</v>
      </c>
      <c r="D27" s="193">
        <v>3073</v>
      </c>
      <c r="E27" s="353">
        <f t="shared" si="0"/>
        <v>57900</v>
      </c>
      <c r="F27" s="193" t="s">
        <v>17</v>
      </c>
      <c r="G27" s="193">
        <v>20</v>
      </c>
      <c r="H27" s="212"/>
      <c r="I27" s="191"/>
    </row>
    <row r="28" spans="3:9" ht="18.5" x14ac:dyDescent="0.45">
      <c r="C28" s="227" t="s">
        <v>230</v>
      </c>
      <c r="D28" s="226">
        <v>4010</v>
      </c>
      <c r="E28" s="353">
        <v>140000</v>
      </c>
      <c r="F28" s="193" t="s">
        <v>34</v>
      </c>
      <c r="G28" s="193">
        <v>4.54</v>
      </c>
      <c r="H28" s="213"/>
      <c r="I28" s="191"/>
    </row>
    <row r="29" spans="3:9" ht="18.5" x14ac:dyDescent="0.45">
      <c r="C29" s="227" t="s">
        <v>231</v>
      </c>
      <c r="D29" s="226">
        <v>4011</v>
      </c>
      <c r="E29" s="353">
        <v>140000</v>
      </c>
      <c r="F29" s="193" t="s">
        <v>34</v>
      </c>
      <c r="G29" s="193">
        <v>4.54</v>
      </c>
      <c r="H29" s="213"/>
      <c r="I29" s="191"/>
    </row>
    <row r="30" spans="3:9" ht="18.5" x14ac:dyDescent="0.45">
      <c r="C30" s="227" t="s">
        <v>232</v>
      </c>
      <c r="D30" s="226"/>
      <c r="E30" s="353">
        <v>140000</v>
      </c>
      <c r="F30" s="193" t="s">
        <v>34</v>
      </c>
      <c r="G30" s="193">
        <v>4.54</v>
      </c>
      <c r="H30" s="213"/>
      <c r="I30" s="191"/>
    </row>
    <row r="31" spans="3:9" ht="18.5" x14ac:dyDescent="0.45">
      <c r="C31" s="227" t="s">
        <v>233</v>
      </c>
      <c r="D31" s="226"/>
      <c r="E31" s="353">
        <v>140000</v>
      </c>
      <c r="F31" s="193" t="s">
        <v>34</v>
      </c>
      <c r="G31" s="193">
        <v>4.54</v>
      </c>
      <c r="H31" s="213"/>
      <c r="I31" s="191"/>
    </row>
    <row r="32" spans="3:9" ht="18.5" x14ac:dyDescent="0.45">
      <c r="C32" s="227" t="s">
        <v>234</v>
      </c>
      <c r="D32" s="226"/>
      <c r="E32" s="353">
        <v>140000</v>
      </c>
      <c r="F32" s="193" t="s">
        <v>34</v>
      </c>
      <c r="G32" s="193">
        <v>4.54</v>
      </c>
      <c r="H32" s="213"/>
      <c r="I32" s="191"/>
    </row>
    <row r="33" spans="3:14" ht="18.5" x14ac:dyDescent="0.45">
      <c r="C33" s="227" t="s">
        <v>235</v>
      </c>
      <c r="D33" s="226"/>
      <c r="E33" s="353">
        <v>140000</v>
      </c>
      <c r="F33" s="193" t="s">
        <v>34</v>
      </c>
      <c r="G33" s="193">
        <v>4.54</v>
      </c>
      <c r="H33" s="213"/>
      <c r="I33" s="191"/>
    </row>
    <row r="34" spans="3:14" ht="18.5" x14ac:dyDescent="0.45">
      <c r="C34" s="227" t="s">
        <v>35</v>
      </c>
      <c r="D34" s="226">
        <v>4012</v>
      </c>
      <c r="E34" s="353">
        <v>235000</v>
      </c>
      <c r="F34" s="193" t="s">
        <v>34</v>
      </c>
      <c r="G34" s="193">
        <v>4.54</v>
      </c>
      <c r="H34" s="213"/>
      <c r="I34" s="191"/>
    </row>
    <row r="35" spans="3:14" ht="18.5" x14ac:dyDescent="0.45">
      <c r="C35" s="227" t="s">
        <v>36</v>
      </c>
      <c r="D35" s="226">
        <v>4013</v>
      </c>
      <c r="E35" s="353">
        <v>235000</v>
      </c>
      <c r="F35" s="193" t="s">
        <v>34</v>
      </c>
      <c r="G35" s="193">
        <v>4.54</v>
      </c>
      <c r="H35" s="213"/>
      <c r="I35" s="191"/>
    </row>
    <row r="36" spans="3:14" ht="18.5" x14ac:dyDescent="0.45">
      <c r="C36" s="227" t="s">
        <v>37</v>
      </c>
      <c r="D36" s="226">
        <v>4014</v>
      </c>
      <c r="E36" s="353">
        <v>235000</v>
      </c>
      <c r="F36" s="193" t="s">
        <v>34</v>
      </c>
      <c r="G36" s="193">
        <v>4.54</v>
      </c>
      <c r="H36" s="213"/>
      <c r="I36" s="191"/>
    </row>
    <row r="37" spans="3:14" ht="18.5" x14ac:dyDescent="0.45">
      <c r="C37" s="227" t="s">
        <v>38</v>
      </c>
      <c r="D37" s="193">
        <v>0</v>
      </c>
      <c r="E37" s="353">
        <v>235000</v>
      </c>
      <c r="F37" s="193" t="s">
        <v>34</v>
      </c>
      <c r="G37" s="193">
        <v>4.54</v>
      </c>
      <c r="H37" s="213"/>
      <c r="I37" s="191"/>
    </row>
    <row r="38" spans="3:14" ht="18.5" x14ac:dyDescent="0.45">
      <c r="C38" s="227" t="s">
        <v>39</v>
      </c>
      <c r="D38" s="193">
        <v>0</v>
      </c>
      <c r="E38" s="353">
        <v>235000</v>
      </c>
      <c r="F38" s="193" t="s">
        <v>34</v>
      </c>
      <c r="G38" s="193">
        <v>4.54</v>
      </c>
      <c r="H38" s="213"/>
      <c r="I38" s="191"/>
    </row>
    <row r="39" spans="3:14" ht="19" thickBot="1" x14ac:dyDescent="0.5">
      <c r="C39" s="227" t="s">
        <v>40</v>
      </c>
      <c r="D39" s="196">
        <v>0</v>
      </c>
      <c r="E39" s="353">
        <v>235000</v>
      </c>
      <c r="F39" s="196" t="s">
        <v>34</v>
      </c>
      <c r="G39" s="193">
        <v>4.54</v>
      </c>
      <c r="H39" s="214"/>
      <c r="I39" s="191"/>
    </row>
    <row r="40" spans="3:14" ht="18.5" x14ac:dyDescent="0.45">
      <c r="C40" s="215"/>
      <c r="D40" s="199"/>
      <c r="E40" s="216"/>
      <c r="F40" s="199"/>
      <c r="G40" s="199"/>
      <c r="H40" s="191"/>
      <c r="I40" s="191"/>
    </row>
    <row r="41" spans="3:14" ht="19" thickBot="1" x14ac:dyDescent="0.5">
      <c r="C41" s="191"/>
      <c r="D41" s="200"/>
      <c r="E41" s="200"/>
      <c r="F41" s="200"/>
      <c r="G41" s="191"/>
      <c r="H41" s="191"/>
      <c r="I41" s="191"/>
    </row>
    <row r="42" spans="3:14" ht="18.5" x14ac:dyDescent="0.45">
      <c r="C42" s="187" t="s">
        <v>41</v>
      </c>
      <c r="D42" s="188" t="s">
        <v>11</v>
      </c>
      <c r="E42" s="189" t="s">
        <v>6</v>
      </c>
      <c r="F42" s="189" t="s">
        <v>12</v>
      </c>
      <c r="G42" s="189" t="s">
        <v>300</v>
      </c>
      <c r="H42" s="217"/>
      <c r="I42" s="201" t="s">
        <v>42</v>
      </c>
    </row>
    <row r="43" spans="3:14" ht="36" x14ac:dyDescent="0.45">
      <c r="C43" s="218" t="s">
        <v>43</v>
      </c>
      <c r="D43" s="159">
        <v>7940</v>
      </c>
      <c r="E43" s="353">
        <f>E15</f>
        <v>481740</v>
      </c>
      <c r="F43" s="159" t="str">
        <f>F15</f>
        <v>Kit x 32 Lb - 15,4 kg</v>
      </c>
      <c r="G43" s="318">
        <v>22.2</v>
      </c>
      <c r="H43" s="219" t="s">
        <v>302</v>
      </c>
      <c r="I43" s="194">
        <v>2</v>
      </c>
      <c r="N43" s="11"/>
    </row>
    <row r="44" spans="3:14" ht="36" x14ac:dyDescent="0.45">
      <c r="C44" s="218" t="s">
        <v>48</v>
      </c>
      <c r="D44" s="159">
        <v>7899</v>
      </c>
      <c r="E44" s="353">
        <v>2575000</v>
      </c>
      <c r="F44" s="159" t="s">
        <v>67</v>
      </c>
      <c r="G44" s="159">
        <v>27</v>
      </c>
      <c r="H44" s="219" t="s">
        <v>303</v>
      </c>
      <c r="I44" s="194">
        <v>1</v>
      </c>
    </row>
    <row r="45" spans="3:14" ht="36" x14ac:dyDescent="0.45">
      <c r="C45" s="218" t="s">
        <v>49</v>
      </c>
      <c r="D45" s="159">
        <v>7899</v>
      </c>
      <c r="E45" s="353">
        <f>E44</f>
        <v>2575000</v>
      </c>
      <c r="F45" s="159" t="s">
        <v>67</v>
      </c>
      <c r="G45" s="159">
        <v>21.4</v>
      </c>
      <c r="H45" s="219" t="s">
        <v>44</v>
      </c>
      <c r="I45" s="194">
        <v>1</v>
      </c>
    </row>
    <row r="46" spans="3:14" ht="36" x14ac:dyDescent="0.45">
      <c r="C46" s="218" t="s">
        <v>50</v>
      </c>
      <c r="D46" s="159">
        <v>4015</v>
      </c>
      <c r="E46" s="353">
        <v>425000</v>
      </c>
      <c r="F46" s="159" t="s">
        <v>112</v>
      </c>
      <c r="G46" s="159">
        <v>11.1</v>
      </c>
      <c r="H46" s="219" t="s">
        <v>45</v>
      </c>
      <c r="I46" s="194">
        <v>1</v>
      </c>
    </row>
    <row r="47" spans="3:14" ht="36" x14ac:dyDescent="0.45">
      <c r="C47" s="218" t="s">
        <v>236</v>
      </c>
      <c r="D47" s="159">
        <v>4531</v>
      </c>
      <c r="E47" s="353">
        <v>1450000</v>
      </c>
      <c r="F47" s="159" t="s">
        <v>46</v>
      </c>
      <c r="G47" s="318">
        <v>22</v>
      </c>
      <c r="H47" s="219" t="s">
        <v>47</v>
      </c>
      <c r="I47" s="194">
        <v>0</v>
      </c>
    </row>
    <row r="48" spans="3:14" ht="18.5" x14ac:dyDescent="0.45">
      <c r="C48" s="218" t="s">
        <v>63</v>
      </c>
      <c r="D48" s="159">
        <v>7431</v>
      </c>
      <c r="E48" s="353">
        <v>1400000</v>
      </c>
      <c r="F48" s="159" t="s">
        <v>46</v>
      </c>
      <c r="G48" s="159">
        <v>27.87</v>
      </c>
      <c r="H48" s="219" t="s">
        <v>304</v>
      </c>
      <c r="I48" s="194">
        <v>0</v>
      </c>
    </row>
    <row r="49" spans="3:23" ht="18.5" x14ac:dyDescent="0.45">
      <c r="C49" s="220"/>
      <c r="D49" s="199"/>
      <c r="E49" s="221"/>
      <c r="F49" s="222"/>
      <c r="G49" s="222"/>
      <c r="H49" s="204"/>
      <c r="I49" s="199"/>
    </row>
    <row r="50" spans="3:23" ht="19" thickBot="1" x14ac:dyDescent="0.5">
      <c r="C50" s="191"/>
      <c r="D50" s="200"/>
      <c r="E50" s="200"/>
      <c r="F50" s="200"/>
      <c r="G50" s="200"/>
      <c r="H50" s="200"/>
      <c r="I50" s="191"/>
    </row>
    <row r="51" spans="3:23" ht="18.5" x14ac:dyDescent="0.45">
      <c r="C51" s="187" t="s">
        <v>298</v>
      </c>
      <c r="D51" s="188" t="s">
        <v>11</v>
      </c>
      <c r="E51" s="189" t="s">
        <v>6</v>
      </c>
      <c r="F51" s="319" t="s">
        <v>297</v>
      </c>
      <c r="G51" s="200"/>
      <c r="H51" s="200"/>
      <c r="I51" s="191"/>
    </row>
    <row r="52" spans="3:23" ht="18.5" x14ac:dyDescent="0.45">
      <c r="C52" s="320" t="s">
        <v>51</v>
      </c>
      <c r="D52" s="159">
        <v>7429</v>
      </c>
      <c r="E52" s="353">
        <v>735000</v>
      </c>
      <c r="F52" s="354">
        <v>10</v>
      </c>
      <c r="G52" s="200"/>
      <c r="H52" s="200"/>
      <c r="I52" s="191"/>
    </row>
    <row r="53" spans="3:23" ht="18.5" x14ac:dyDescent="0.45">
      <c r="C53" s="320" t="s">
        <v>52</v>
      </c>
      <c r="D53" s="159">
        <v>7430</v>
      </c>
      <c r="E53" s="353">
        <v>735000</v>
      </c>
      <c r="F53" s="354">
        <v>10</v>
      </c>
      <c r="G53" s="200"/>
      <c r="H53" s="200"/>
      <c r="I53" s="191"/>
    </row>
    <row r="54" spans="3:23" ht="18.5" x14ac:dyDescent="0.45">
      <c r="C54" s="320" t="s">
        <v>53</v>
      </c>
      <c r="D54" s="159"/>
      <c r="E54" s="353">
        <v>735000</v>
      </c>
      <c r="F54" s="354">
        <v>10</v>
      </c>
      <c r="G54" s="200"/>
      <c r="H54" s="200"/>
      <c r="I54" s="191"/>
    </row>
    <row r="55" spans="3:23" ht="18.5" x14ac:dyDescent="0.45">
      <c r="C55" s="320" t="s">
        <v>54</v>
      </c>
      <c r="D55" s="159"/>
      <c r="E55" s="353">
        <v>735000</v>
      </c>
      <c r="F55" s="354">
        <v>10</v>
      </c>
      <c r="G55" s="200"/>
      <c r="H55" s="200"/>
      <c r="I55" s="191"/>
    </row>
    <row r="56" spans="3:23" ht="18.5" x14ac:dyDescent="0.45">
      <c r="C56" s="320" t="s">
        <v>55</v>
      </c>
      <c r="D56" s="159"/>
      <c r="E56" s="353">
        <v>735000</v>
      </c>
      <c r="F56" s="354">
        <v>10</v>
      </c>
      <c r="G56" s="200"/>
      <c r="H56" s="200"/>
      <c r="I56" s="191"/>
    </row>
    <row r="57" spans="3:23" ht="18.5" x14ac:dyDescent="0.45">
      <c r="C57" s="320" t="s">
        <v>56</v>
      </c>
      <c r="D57" s="159"/>
      <c r="E57" s="353">
        <v>735000</v>
      </c>
      <c r="F57" s="354">
        <v>10</v>
      </c>
      <c r="G57" s="200"/>
      <c r="H57" s="200"/>
      <c r="I57" s="191"/>
    </row>
    <row r="58" spans="3:23" ht="18.5" x14ac:dyDescent="0.45">
      <c r="C58" s="320" t="s">
        <v>57</v>
      </c>
      <c r="D58" s="159"/>
      <c r="E58" s="353">
        <v>735000</v>
      </c>
      <c r="F58" s="354">
        <v>10</v>
      </c>
      <c r="G58" s="200"/>
      <c r="H58" s="200"/>
      <c r="I58" s="191"/>
    </row>
    <row r="59" spans="3:23" ht="19" thickBot="1" x14ac:dyDescent="0.5">
      <c r="C59" s="321" t="s">
        <v>58</v>
      </c>
      <c r="D59" s="160"/>
      <c r="E59" s="353">
        <v>735000</v>
      </c>
      <c r="F59" s="354">
        <v>10</v>
      </c>
      <c r="G59" s="200"/>
      <c r="H59" s="200"/>
      <c r="I59" s="191"/>
    </row>
    <row r="60" spans="3:23" ht="18.5" x14ac:dyDescent="0.45">
      <c r="C60" s="215"/>
      <c r="D60" s="223"/>
      <c r="E60" s="221"/>
      <c r="F60" s="222"/>
      <c r="G60" s="200"/>
      <c r="H60" s="200"/>
      <c r="I60" s="191"/>
    </row>
    <row r="62" spans="3:23" ht="39.5" thickBot="1" x14ac:dyDescent="0.5">
      <c r="C62" s="357" t="s">
        <v>310</v>
      </c>
      <c r="D62" s="353">
        <f>184450*2</f>
        <v>368900</v>
      </c>
      <c r="V62" s="53" t="str">
        <f>'Flowfresh Trafico Pesado'!D21</f>
        <v>Flowfresh HF</v>
      </c>
      <c r="W62" s="53" t="str">
        <f>'Flowfresh Trafico Pesado'!D22</f>
        <v>9 mm</v>
      </c>
    </row>
    <row r="63" spans="3:23" ht="25.5" thickBot="1" x14ac:dyDescent="0.4">
      <c r="C63" s="123" t="s">
        <v>104</v>
      </c>
      <c r="D63" s="473" t="s">
        <v>98</v>
      </c>
      <c r="E63" s="474"/>
      <c r="F63" s="474"/>
      <c r="G63" s="474"/>
      <c r="H63" s="475"/>
      <c r="I63" s="126" t="s">
        <v>180</v>
      </c>
      <c r="J63" s="58" t="s">
        <v>59</v>
      </c>
      <c r="K63" s="59" t="s">
        <v>75</v>
      </c>
      <c r="L63" s="59" t="s">
        <v>85</v>
      </c>
      <c r="M63" s="125" t="s">
        <v>86</v>
      </c>
      <c r="N63" s="125" t="s">
        <v>311</v>
      </c>
      <c r="O63" s="54" t="s">
        <v>184</v>
      </c>
      <c r="P63" s="54" t="s">
        <v>95</v>
      </c>
      <c r="Q63" s="153" t="s">
        <v>195</v>
      </c>
      <c r="R63" s="117" t="s">
        <v>196</v>
      </c>
      <c r="S63" s="154" t="s">
        <v>195</v>
      </c>
      <c r="T63" s="127" t="s">
        <v>223</v>
      </c>
      <c r="V63" s="61" t="s">
        <v>97</v>
      </c>
      <c r="W63" s="63" t="s">
        <v>25</v>
      </c>
    </row>
    <row r="64" spans="3:23" ht="33.5" customHeight="1" thickBot="1" x14ac:dyDescent="0.5">
      <c r="C64" s="170" t="s">
        <v>31</v>
      </c>
      <c r="D64" s="171" t="s">
        <v>109</v>
      </c>
      <c r="E64" s="171" t="s">
        <v>99</v>
      </c>
      <c r="F64" s="171" t="s">
        <v>100</v>
      </c>
      <c r="G64" s="171" t="s">
        <v>101</v>
      </c>
      <c r="H64" s="172" t="s">
        <v>102</v>
      </c>
      <c r="I64" s="224">
        <v>59.9</v>
      </c>
      <c r="J64" s="225">
        <v>7933</v>
      </c>
      <c r="K64" s="137" t="s">
        <v>5</v>
      </c>
      <c r="L64" s="122" t="s">
        <v>220</v>
      </c>
      <c r="M64" s="138" t="s">
        <v>31</v>
      </c>
      <c r="N64" s="353">
        <f>96023*2</f>
        <v>192046</v>
      </c>
      <c r="O64" s="143" t="s">
        <v>186</v>
      </c>
      <c r="P64" s="37" t="s">
        <v>224</v>
      </c>
      <c r="Q64" s="30" t="s">
        <v>197</v>
      </c>
      <c r="R64" s="155" t="s">
        <v>198</v>
      </c>
      <c r="S64" s="156">
        <v>0</v>
      </c>
      <c r="T64" s="37" t="s">
        <v>222</v>
      </c>
      <c r="V64" s="62" t="str">
        <f>IF(VLOOKUP($V$62,$C$64:$H$68,2,0)&gt;0,VLOOKUP($V$62,$C$64:$H$68,2,0)," ")</f>
        <v>5 mm</v>
      </c>
      <c r="W64" s="64">
        <f>IF(AND($V$62=$C$70,$W$62=$E$64),E70,(IF(AND($V$62=$C$70,$W$62=$F$64),F70,(IF(AND($V$62=$C$70,$W$62=G64),G70,(IF(AND($V$62=$C$70,$W$62=H64),H70,(IF(AND($V$62=$C$71,$W$62=$E$65),E71,IF(AND($V$62=$C$71,$W$62=$F$65),F71,(IF(AND($V$62=$C$71,$W$62=G65),G71,(IF(AND($V$62=$C$71,$W$62=$H$65),H71,(IF(AND($V$62=$C$72,$W$62=$E$66),G72,(IF(AND($V$62=$C$72,$W$62=F66),H72,(IF(AND($V$62=$C$73,$W$62=$E$67),E73,(IF(AND($V$62=$C$73,$W$62=$F$67),F73,(IF(AND($V$62=$C$73,$W$62=$G$67),G73,(IF(AND($V$62=$C$74,$W$62=$E$68),E74,(IF(AND($V$62=$C$74,$W$62=$F$68),F74,(IF(AND($V$62=$C$70,$W$62=$D$64),D70,(IF(AND($V$62=$C$74,$W$62=$G$68),G74,0))))))))))))))))))))))))))))))))</f>
        <v>3.2</v>
      </c>
    </row>
    <row r="65" spans="1:22" ht="29.5" customHeight="1" x14ac:dyDescent="0.45">
      <c r="C65" s="164" t="s">
        <v>73</v>
      </c>
      <c r="D65" s="344"/>
      <c r="E65" s="165" t="s">
        <v>99</v>
      </c>
      <c r="F65" s="165" t="s">
        <v>100</v>
      </c>
      <c r="G65" s="165" t="s">
        <v>101</v>
      </c>
      <c r="H65" s="173" t="s">
        <v>102</v>
      </c>
      <c r="I65" s="174">
        <v>50</v>
      </c>
      <c r="J65" s="175">
        <v>7934</v>
      </c>
      <c r="K65" s="37" t="s">
        <v>76</v>
      </c>
      <c r="L65" s="36" t="s">
        <v>218</v>
      </c>
      <c r="M65" s="139" t="s">
        <v>73</v>
      </c>
      <c r="N65" s="353">
        <f>94938*2</f>
        <v>189876</v>
      </c>
      <c r="O65" s="143" t="s">
        <v>186</v>
      </c>
      <c r="P65" s="37" t="s">
        <v>225</v>
      </c>
      <c r="Q65" s="30" t="s">
        <v>197</v>
      </c>
      <c r="R65" s="155" t="s">
        <v>199</v>
      </c>
      <c r="S65" s="156">
        <v>0</v>
      </c>
      <c r="T65" s="37" t="s">
        <v>217</v>
      </c>
      <c r="V65" s="13" t="str">
        <f>IF(VLOOKUP($V$62,$C$64:$H$68,3,0)&gt;0,VLOOKUP($V$62,$C$64:$H$68,3,0)," ")</f>
        <v>6 mm</v>
      </c>
    </row>
    <row r="66" spans="1:22" ht="32" customHeight="1" x14ac:dyDescent="0.45">
      <c r="C66" s="164" t="s">
        <v>33</v>
      </c>
      <c r="D66" s="344"/>
      <c r="E66" s="165" t="s">
        <v>102</v>
      </c>
      <c r="F66" s="165" t="s">
        <v>103</v>
      </c>
      <c r="G66" s="165"/>
      <c r="H66" s="173"/>
      <c r="I66" s="174">
        <v>56.2</v>
      </c>
      <c r="J66" s="175">
        <v>7935</v>
      </c>
      <c r="K66" s="37" t="s">
        <v>77</v>
      </c>
      <c r="L66" s="36" t="s">
        <v>82</v>
      </c>
      <c r="M66" s="139" t="s">
        <v>33</v>
      </c>
      <c r="N66" s="353">
        <f>195843*2</f>
        <v>391686</v>
      </c>
      <c r="O66" s="143"/>
      <c r="P66" s="37" t="s">
        <v>226</v>
      </c>
      <c r="Q66" s="30" t="s">
        <v>197</v>
      </c>
      <c r="R66" s="155" t="s">
        <v>200</v>
      </c>
      <c r="S66" s="156">
        <v>0</v>
      </c>
      <c r="T66" s="37" t="s">
        <v>221</v>
      </c>
      <c r="V66" s="13" t="str">
        <f>IF(VLOOKUP($V$62,$C$64:$H$68,4,0)&gt;0,VLOOKUP($V$62,$C$64:$H$68,4,0)," ")</f>
        <v>7 mm</v>
      </c>
    </row>
    <row r="67" spans="1:22" ht="34.5" customHeight="1" x14ac:dyDescent="0.45">
      <c r="C67" s="164" t="s">
        <v>61</v>
      </c>
      <c r="D67" s="344"/>
      <c r="E67" s="165" t="s">
        <v>99</v>
      </c>
      <c r="F67" s="165" t="s">
        <v>100</v>
      </c>
      <c r="G67" s="165" t="s">
        <v>101</v>
      </c>
      <c r="H67" s="173"/>
      <c r="I67" s="174">
        <v>42.6</v>
      </c>
      <c r="J67" s="175">
        <v>7938</v>
      </c>
      <c r="K67" s="37" t="s">
        <v>78</v>
      </c>
      <c r="L67" s="36" t="s">
        <v>219</v>
      </c>
      <c r="M67" s="139" t="s">
        <v>61</v>
      </c>
      <c r="N67" s="353">
        <f>90055*2</f>
        <v>180110</v>
      </c>
      <c r="O67" s="143" t="s">
        <v>238</v>
      </c>
      <c r="P67" s="37" t="s">
        <v>227</v>
      </c>
      <c r="Q67" s="30" t="s">
        <v>197</v>
      </c>
      <c r="R67" s="155" t="s">
        <v>201</v>
      </c>
      <c r="S67" s="156">
        <v>0</v>
      </c>
      <c r="T67" s="37" t="s">
        <v>213</v>
      </c>
      <c r="V67" s="13" t="str">
        <f>IF(VLOOKUP($V$62,$C$64:$H$68,5,0)&gt;0,VLOOKUP($V$62,$C$64:$H$68,5,0)," ")</f>
        <v>8 mm</v>
      </c>
    </row>
    <row r="68" spans="1:22" ht="25" customHeight="1" thickBot="1" x14ac:dyDescent="0.5">
      <c r="A68" s="485"/>
      <c r="B68" s="347"/>
      <c r="C68" s="167" t="s">
        <v>74</v>
      </c>
      <c r="D68" s="345"/>
      <c r="E68" s="168" t="s">
        <v>99</v>
      </c>
      <c r="F68" s="168" t="s">
        <v>100</v>
      </c>
      <c r="G68" s="168" t="s">
        <v>101</v>
      </c>
      <c r="H68" s="176"/>
      <c r="I68" s="174">
        <v>42.6</v>
      </c>
      <c r="J68" s="177">
        <v>7938</v>
      </c>
      <c r="K68" s="120" t="s">
        <v>78</v>
      </c>
      <c r="L68" s="36" t="s">
        <v>219</v>
      </c>
      <c r="M68" s="140" t="s">
        <v>74</v>
      </c>
      <c r="N68" s="353">
        <f>N67</f>
        <v>180110</v>
      </c>
      <c r="O68" s="143" t="s">
        <v>239</v>
      </c>
      <c r="P68" s="37" t="s">
        <v>228</v>
      </c>
      <c r="Q68" s="30" t="s">
        <v>197</v>
      </c>
      <c r="R68" s="155" t="s">
        <v>202</v>
      </c>
      <c r="S68" s="157">
        <v>0</v>
      </c>
      <c r="T68" s="37" t="s">
        <v>214</v>
      </c>
      <c r="V68" s="13" t="str">
        <f>IF(VLOOKUP($V$62,$C$64:$H$68,6,0)&gt;0,VLOOKUP($V$62,$C$64:$H$68,6,0)," ")</f>
        <v>9 mm</v>
      </c>
    </row>
    <row r="69" spans="1:22" ht="15" thickBot="1" x14ac:dyDescent="0.4">
      <c r="A69" s="485"/>
      <c r="B69" s="347"/>
      <c r="C69" s="121" t="s">
        <v>104</v>
      </c>
      <c r="D69" s="473" t="s">
        <v>107</v>
      </c>
      <c r="E69" s="474"/>
      <c r="F69" s="474"/>
      <c r="G69" s="474"/>
      <c r="H69" s="475"/>
      <c r="I69" s="46"/>
      <c r="J69" s="46"/>
      <c r="K69" s="119"/>
      <c r="L69" s="46"/>
      <c r="M69" s="119"/>
      <c r="N69" s="119"/>
      <c r="O69"/>
      <c r="P69" s="11"/>
      <c r="V69" s="52"/>
    </row>
    <row r="70" spans="1:22" ht="20.5" x14ac:dyDescent="0.35">
      <c r="A70" s="485"/>
      <c r="B70" s="347"/>
      <c r="C70" s="161" t="s">
        <v>31</v>
      </c>
      <c r="D70" s="346">
        <v>5.3</v>
      </c>
      <c r="E70" s="162">
        <v>4.4000000000000004</v>
      </c>
      <c r="F70" s="162">
        <v>3.8</v>
      </c>
      <c r="G70" s="162">
        <v>3.4</v>
      </c>
      <c r="H70" s="163">
        <v>3.2</v>
      </c>
      <c r="I70" s="46"/>
      <c r="J70" s="46"/>
      <c r="K70" s="119"/>
      <c r="L70" s="46"/>
      <c r="M70" s="119"/>
      <c r="N70" s="119"/>
      <c r="O70"/>
      <c r="P70" s="11"/>
    </row>
    <row r="71" spans="1:22" ht="20.5" x14ac:dyDescent="0.35">
      <c r="A71" s="485"/>
      <c r="B71" s="347"/>
      <c r="C71" s="164" t="s">
        <v>73</v>
      </c>
      <c r="D71" s="344"/>
      <c r="E71" s="165">
        <v>4</v>
      </c>
      <c r="F71" s="165">
        <v>3.3</v>
      </c>
      <c r="G71" s="165">
        <v>2.9</v>
      </c>
      <c r="H71" s="166">
        <v>2.6</v>
      </c>
      <c r="I71" s="46"/>
      <c r="J71" s="46"/>
      <c r="K71" s="119"/>
      <c r="L71" s="46"/>
      <c r="M71" s="119"/>
      <c r="N71" s="119"/>
      <c r="P71" s="11"/>
    </row>
    <row r="72" spans="1:22" ht="20.5" x14ac:dyDescent="0.35">
      <c r="A72" s="485"/>
      <c r="B72" s="347"/>
      <c r="C72" s="164" t="s">
        <v>33</v>
      </c>
      <c r="D72" s="344"/>
      <c r="E72" s="165"/>
      <c r="F72" s="165"/>
      <c r="G72" s="165">
        <v>2.6</v>
      </c>
      <c r="H72" s="166">
        <v>1.8</v>
      </c>
      <c r="I72" s="51"/>
      <c r="J72" s="46"/>
      <c r="K72" s="119"/>
      <c r="L72" s="46"/>
      <c r="M72" s="119"/>
      <c r="N72" s="119"/>
      <c r="P72" s="11"/>
    </row>
    <row r="73" spans="1:22" ht="20.5" x14ac:dyDescent="0.35">
      <c r="A73" s="485"/>
      <c r="B73" s="347"/>
      <c r="C73" s="164" t="s">
        <v>61</v>
      </c>
      <c r="D73" s="344"/>
      <c r="E73" s="165">
        <v>4.4000000000000004</v>
      </c>
      <c r="F73" s="165">
        <v>3.7</v>
      </c>
      <c r="G73" s="165">
        <v>3.4</v>
      </c>
      <c r="H73" s="166"/>
      <c r="I73" s="51"/>
      <c r="J73" s="46"/>
      <c r="K73" s="119"/>
      <c r="L73" s="46"/>
      <c r="M73" s="119"/>
      <c r="N73" s="119"/>
      <c r="P73" s="11"/>
    </row>
    <row r="74" spans="1:22" ht="21" thickBot="1" x14ac:dyDescent="0.4">
      <c r="A74" s="55"/>
      <c r="B74" s="347"/>
      <c r="C74" s="167" t="s">
        <v>74</v>
      </c>
      <c r="D74" s="345"/>
      <c r="E74" s="168">
        <v>4.4000000000000004</v>
      </c>
      <c r="F74" s="168">
        <v>3.7</v>
      </c>
      <c r="G74" s="168">
        <v>3.4</v>
      </c>
      <c r="H74" s="169"/>
      <c r="I74" s="51"/>
      <c r="J74" s="46"/>
      <c r="K74" s="119"/>
      <c r="L74" s="46"/>
      <c r="M74" s="119"/>
      <c r="N74" s="119"/>
      <c r="P74" s="11"/>
    </row>
    <row r="75" spans="1:22" s="10" customFormat="1" x14ac:dyDescent="0.35">
      <c r="A75" s="55"/>
      <c r="B75" s="347"/>
      <c r="C75" s="34"/>
      <c r="D75" s="46"/>
      <c r="E75" s="46"/>
      <c r="F75" s="46"/>
      <c r="G75" s="46"/>
      <c r="H75" s="51"/>
      <c r="I75" s="34"/>
      <c r="J75" s="46"/>
      <c r="K75" s="119"/>
      <c r="L75" s="46"/>
      <c r="M75" s="46"/>
      <c r="N75" s="11"/>
      <c r="O75" s="11"/>
      <c r="P75"/>
      <c r="Q75"/>
      <c r="R75"/>
      <c r="S75"/>
      <c r="T75"/>
      <c r="U75" s="53" t="str">
        <f>'Flowfresh Trafico Mediano'!D23</f>
        <v>Flowfresh SL</v>
      </c>
      <c r="V75" s="53" t="str">
        <f>'Flowfresh Trafico Mediano'!D24</f>
        <v>3 mm</v>
      </c>
    </row>
    <row r="76" spans="1:22" s="10" customFormat="1" x14ac:dyDescent="0.35">
      <c r="A76" s="152"/>
      <c r="B76" s="347"/>
      <c r="C76" s="34"/>
      <c r="D76" s="46"/>
      <c r="E76" s="46"/>
      <c r="F76" s="46"/>
      <c r="G76" s="46"/>
      <c r="H76" s="151"/>
      <c r="I76" s="34"/>
      <c r="J76" s="46"/>
      <c r="K76" s="119"/>
      <c r="L76" s="46"/>
      <c r="M76" s="46"/>
      <c r="N76" s="11"/>
      <c r="O76" s="11"/>
      <c r="P76"/>
      <c r="Q76"/>
      <c r="R76"/>
      <c r="S76"/>
      <c r="T76"/>
      <c r="U76" s="53"/>
      <c r="V76" s="53"/>
    </row>
    <row r="77" spans="1:22" s="10" customFormat="1" x14ac:dyDescent="0.35">
      <c r="A77" s="152"/>
      <c r="B77" s="347"/>
      <c r="C77" s="34"/>
      <c r="D77" s="46"/>
      <c r="E77" s="46"/>
      <c r="F77" s="46"/>
      <c r="G77" s="46"/>
      <c r="H77" s="151"/>
      <c r="I77" s="34"/>
      <c r="J77" s="46"/>
      <c r="K77" s="119"/>
      <c r="L77" s="46"/>
      <c r="M77" s="46"/>
      <c r="N77" s="35"/>
      <c r="O77" s="11"/>
      <c r="P77"/>
      <c r="Q77"/>
      <c r="R77"/>
      <c r="S77"/>
      <c r="T77"/>
      <c r="U77" s="53"/>
      <c r="V77" s="53"/>
    </row>
    <row r="78" spans="1:22" s="10" customFormat="1" x14ac:dyDescent="0.35">
      <c r="A78" s="152"/>
      <c r="B78" s="347"/>
      <c r="C78" s="34"/>
      <c r="D78" s="46"/>
      <c r="E78" s="46"/>
      <c r="F78" s="46"/>
      <c r="G78" s="46"/>
      <c r="H78" s="151"/>
      <c r="I78" s="34"/>
      <c r="J78" s="46"/>
      <c r="K78" s="119"/>
      <c r="L78" s="46"/>
      <c r="M78" s="46"/>
      <c r="N78" s="35"/>
      <c r="O78" s="11"/>
      <c r="P78"/>
      <c r="Q78"/>
      <c r="R78"/>
      <c r="S78"/>
      <c r="T78"/>
      <c r="U78" s="53"/>
      <c r="V78" s="53"/>
    </row>
    <row r="79" spans="1:22" s="10" customFormat="1" ht="15" thickBot="1" x14ac:dyDescent="0.4">
      <c r="A79" s="152"/>
      <c r="B79" s="347"/>
      <c r="C79" s="34"/>
      <c r="D79" s="46"/>
      <c r="E79" s="46"/>
      <c r="F79" s="46"/>
      <c r="G79" s="46"/>
      <c r="H79" s="151"/>
      <c r="I79" s="34"/>
      <c r="J79" s="46"/>
      <c r="K79" s="119"/>
      <c r="L79" s="46"/>
      <c r="M79" s="46"/>
      <c r="N79" s="35"/>
      <c r="O79" s="11"/>
      <c r="P79"/>
      <c r="Q79"/>
      <c r="R79"/>
      <c r="S79"/>
      <c r="T79"/>
      <c r="U79" s="53"/>
      <c r="V79" s="53"/>
    </row>
    <row r="80" spans="1:22" s="10" customFormat="1" ht="25.5" thickBot="1" x14ac:dyDescent="0.4">
      <c r="A80" s="55"/>
      <c r="B80" s="347"/>
      <c r="C80" s="149" t="s">
        <v>170</v>
      </c>
      <c r="D80" s="486" t="s">
        <v>98</v>
      </c>
      <c r="E80" s="474"/>
      <c r="F80" s="474"/>
      <c r="G80" s="474"/>
      <c r="H80" s="126" t="s">
        <v>180</v>
      </c>
      <c r="I80" s="58" t="s">
        <v>59</v>
      </c>
      <c r="J80" s="59" t="s">
        <v>75</v>
      </c>
      <c r="K80" s="59" t="s">
        <v>85</v>
      </c>
      <c r="L80" s="60" t="s">
        <v>86</v>
      </c>
      <c r="M80" s="124" t="s">
        <v>314</v>
      </c>
      <c r="N80" s="54" t="s">
        <v>184</v>
      </c>
      <c r="O80" s="54" t="s">
        <v>96</v>
      </c>
      <c r="P80" s="153" t="s">
        <v>195</v>
      </c>
      <c r="Q80" s="117" t="s">
        <v>196</v>
      </c>
      <c r="R80" s="154" t="s">
        <v>195</v>
      </c>
      <c r="S80" s="127" t="s">
        <v>315</v>
      </c>
      <c r="T80"/>
      <c r="U80" s="61" t="s">
        <v>97</v>
      </c>
      <c r="V80" s="63" t="s">
        <v>25</v>
      </c>
    </row>
    <row r="81" spans="1:22" s="10" customFormat="1" ht="150.5" thickBot="1" x14ac:dyDescent="0.5">
      <c r="A81" s="55"/>
      <c r="B81" s="347"/>
      <c r="C81" s="161" t="s">
        <v>32</v>
      </c>
      <c r="D81" s="162" t="s">
        <v>108</v>
      </c>
      <c r="E81" s="162" t="s">
        <v>109</v>
      </c>
      <c r="F81" s="162" t="s">
        <v>99</v>
      </c>
      <c r="G81" s="163" t="s">
        <v>100</v>
      </c>
      <c r="H81" s="178">
        <v>36.299999999999997</v>
      </c>
      <c r="I81" s="56">
        <v>7936</v>
      </c>
      <c r="J81" s="141" t="s">
        <v>79</v>
      </c>
      <c r="K81" s="47" t="s">
        <v>83</v>
      </c>
      <c r="L81" s="142" t="s">
        <v>32</v>
      </c>
      <c r="M81" s="353">
        <f>84088*2</f>
        <v>168176</v>
      </c>
      <c r="N81" s="158" t="s">
        <v>187</v>
      </c>
      <c r="O81" s="42" t="s">
        <v>216</v>
      </c>
      <c r="P81" s="30" t="s">
        <v>22</v>
      </c>
      <c r="Q81" s="155" t="s">
        <v>203</v>
      </c>
      <c r="R81" s="365">
        <v>1</v>
      </c>
      <c r="S81" s="366">
        <v>2</v>
      </c>
      <c r="T81"/>
      <c r="U81" s="13" t="str">
        <f>IF(VLOOKUP($U$75,$C$81:$G$82,2,0)&gt;0,VLOOKUP($U$75,$C$81:$G$82,2,0)," ")</f>
        <v>3 mm</v>
      </c>
      <c r="V81" s="150">
        <f>IF(AND($U$75=$C$84,$V$75=$D$81),D84,(IF(AND($U$75=$C$84,$V$75=$E$81),E84,(IF(AND($U$75=$C$84,$V$75=$F$81),F84,(IF(AND($U$75=$C$84,$V$75=$G$81),G84,(IF(AND($U$75=$C$85,$V$75=$D$82),D85,(IF(AND($U$75=$C$85,$V$75=$E$82),E85,(IF(AND($U$75=$C$85,$V$75=$F$82),F85,0)))))))))))))</f>
        <v>8.6999999999999993</v>
      </c>
    </row>
    <row r="82" spans="1:22" s="10" customFormat="1" ht="150.5" thickBot="1" x14ac:dyDescent="0.55000000000000004">
      <c r="A82" s="55"/>
      <c r="B82" s="347"/>
      <c r="C82" s="167" t="s">
        <v>60</v>
      </c>
      <c r="D82" s="168" t="s">
        <v>110</v>
      </c>
      <c r="E82" s="168" t="s">
        <v>108</v>
      </c>
      <c r="F82" s="168" t="s">
        <v>109</v>
      </c>
      <c r="G82" s="179"/>
      <c r="H82" s="174">
        <v>27.7</v>
      </c>
      <c r="I82" s="57">
        <v>7937</v>
      </c>
      <c r="J82" s="120" t="s">
        <v>80</v>
      </c>
      <c r="K82" s="48" t="s">
        <v>84</v>
      </c>
      <c r="L82" s="140" t="s">
        <v>60</v>
      </c>
      <c r="M82" s="353">
        <f>92768*2</f>
        <v>185536</v>
      </c>
      <c r="N82" s="158" t="s">
        <v>187</v>
      </c>
      <c r="O82" s="42" t="s">
        <v>215</v>
      </c>
      <c r="P82" s="30" t="s">
        <v>22</v>
      </c>
      <c r="Q82" s="155" t="s">
        <v>204</v>
      </c>
      <c r="R82" s="365">
        <v>1</v>
      </c>
      <c r="S82" s="366">
        <v>1</v>
      </c>
      <c r="T82"/>
      <c r="U82" s="13" t="str">
        <f>IF(VLOOKUP($U$75,$C$81:$G$82,3,0)&gt;0,VLOOKUP($U$75,$C$81:$G$82,3,0)," ")</f>
        <v>4 mm</v>
      </c>
      <c r="V82"/>
    </row>
    <row r="83" spans="1:22" s="10" customFormat="1" ht="20.5" x14ac:dyDescent="0.35">
      <c r="A83" s="55"/>
      <c r="B83" s="347"/>
      <c r="C83" s="180" t="s">
        <v>170</v>
      </c>
      <c r="D83" s="482" t="s">
        <v>107</v>
      </c>
      <c r="E83" s="483"/>
      <c r="F83" s="483"/>
      <c r="G83" s="484"/>
      <c r="H83" s="181"/>
      <c r="I83" s="46"/>
      <c r="J83" s="119"/>
      <c r="K83" s="46"/>
      <c r="L83" s="119"/>
      <c r="M83" s="119"/>
      <c r="N83" s="35"/>
      <c r="O83" s="151"/>
      <c r="T83"/>
      <c r="U83" s="13" t="str">
        <f>IF(VLOOKUP($U$75,$C$81:$G$82,4,0)&gt;0,VLOOKUP($U$75,$C$81:$G$82,4,0)," ")</f>
        <v>5 mm</v>
      </c>
    </row>
    <row r="84" spans="1:22" s="10" customFormat="1" ht="20.5" x14ac:dyDescent="0.35">
      <c r="A84" s="55"/>
      <c r="B84" s="347"/>
      <c r="C84" s="164" t="s">
        <v>32</v>
      </c>
      <c r="D84" s="165">
        <v>5.0999999999999996</v>
      </c>
      <c r="E84" s="165">
        <v>4</v>
      </c>
      <c r="F84" s="165">
        <v>3.2</v>
      </c>
      <c r="G84" s="166">
        <v>2</v>
      </c>
      <c r="H84" s="166"/>
      <c r="I84" s="46"/>
      <c r="J84" s="119"/>
      <c r="K84" s="46"/>
      <c r="L84" s="119"/>
      <c r="M84" s="119"/>
      <c r="N84" s="35"/>
      <c r="O84" s="151"/>
      <c r="U84" s="13" t="str">
        <f>IF(VLOOKUP($U$75,$C$81:$G$82,5,0)&gt;0,VLOOKUP($U$75,$C$81:$G$82,5,0)," ")</f>
        <v xml:space="preserve"> </v>
      </c>
    </row>
    <row r="85" spans="1:22" s="10" customFormat="1" ht="21" thickBot="1" x14ac:dyDescent="0.4">
      <c r="A85" s="55"/>
      <c r="B85" s="347"/>
      <c r="C85" s="167" t="s">
        <v>60</v>
      </c>
      <c r="D85" s="168">
        <v>8.6999999999999993</v>
      </c>
      <c r="E85" s="168">
        <v>6.8</v>
      </c>
      <c r="F85" s="168">
        <v>5.8</v>
      </c>
      <c r="G85" s="168"/>
      <c r="H85" s="169"/>
      <c r="I85" s="46"/>
      <c r="J85" s="119"/>
      <c r="K85" s="46"/>
      <c r="L85" s="119"/>
      <c r="M85" s="119"/>
      <c r="N85" s="35"/>
      <c r="O85" s="151"/>
      <c r="U85" s="13"/>
    </row>
    <row r="86" spans="1:22" s="10" customFormat="1" ht="15" thickBot="1" x14ac:dyDescent="0.4">
      <c r="A86" s="72"/>
      <c r="B86" s="347"/>
      <c r="C86" s="34"/>
      <c r="D86" s="46"/>
      <c r="E86" s="46"/>
      <c r="F86" s="46"/>
      <c r="G86" s="46"/>
      <c r="H86" s="46"/>
      <c r="I86" s="46"/>
      <c r="J86" s="119"/>
      <c r="K86" s="46"/>
      <c r="L86" s="119"/>
      <c r="M86" s="119"/>
      <c r="N86" s="35"/>
      <c r="O86" s="151"/>
    </row>
    <row r="87" spans="1:22" s="10" customFormat="1" ht="19.5" x14ac:dyDescent="0.45">
      <c r="A87" s="350"/>
      <c r="B87" s="350"/>
      <c r="C87" s="360" t="s">
        <v>309</v>
      </c>
      <c r="D87" s="362">
        <f>D88+(D89*2)</f>
        <v>493676</v>
      </c>
      <c r="E87" s="46"/>
      <c r="F87" s="46"/>
      <c r="G87" s="46"/>
      <c r="H87" s="46"/>
      <c r="I87" s="46"/>
      <c r="J87" s="119"/>
      <c r="K87" s="46"/>
      <c r="L87" s="119"/>
      <c r="M87" s="119"/>
      <c r="N87" s="35"/>
      <c r="O87" s="349"/>
    </row>
    <row r="88" spans="1:22" s="10" customFormat="1" ht="16" customHeight="1" x14ac:dyDescent="0.45">
      <c r="A88" s="55"/>
      <c r="B88" s="347"/>
      <c r="C88" s="361" t="s">
        <v>306</v>
      </c>
      <c r="D88" s="362">
        <f>D62</f>
        <v>368900</v>
      </c>
      <c r="E88" s="46"/>
      <c r="F88" s="46"/>
      <c r="G88" s="46"/>
      <c r="H88" s="46"/>
      <c r="I88" s="46"/>
      <c r="J88" s="119"/>
      <c r="K88" s="46"/>
      <c r="L88" s="119"/>
      <c r="M88" s="119"/>
      <c r="N88" s="35"/>
      <c r="O88" s="151"/>
    </row>
    <row r="89" spans="1:22" s="10" customFormat="1" ht="19" thickBot="1" x14ac:dyDescent="0.5">
      <c r="A89" s="350"/>
      <c r="B89" s="350"/>
      <c r="C89" s="359" t="s">
        <v>307</v>
      </c>
      <c r="D89" s="363">
        <v>62388</v>
      </c>
      <c r="E89" s="46"/>
      <c r="F89" s="46"/>
      <c r="G89" s="46"/>
      <c r="H89" s="46"/>
      <c r="I89" s="46"/>
      <c r="J89" s="119"/>
      <c r="K89" s="46"/>
      <c r="L89" s="119"/>
      <c r="M89" s="119"/>
      <c r="N89" s="35"/>
      <c r="O89" s="349"/>
    </row>
    <row r="90" spans="1:22" ht="63" customHeight="1" x14ac:dyDescent="0.35">
      <c r="A90" s="41" t="s">
        <v>31</v>
      </c>
      <c r="B90" s="348"/>
      <c r="M90" s="119"/>
    </row>
    <row r="91" spans="1:22" ht="25" hidden="1" x14ac:dyDescent="0.35">
      <c r="C91" s="38" t="s">
        <v>181</v>
      </c>
      <c r="D91" s="476" t="s">
        <v>87</v>
      </c>
      <c r="E91" s="477"/>
      <c r="F91" s="477"/>
      <c r="G91" s="477"/>
      <c r="H91" s="477"/>
      <c r="I91" s="477"/>
      <c r="J91" s="477"/>
      <c r="K91" s="477"/>
      <c r="L91" s="478"/>
    </row>
    <row r="92" spans="1:22" ht="25" hidden="1" x14ac:dyDescent="0.35">
      <c r="C92" s="38" t="s">
        <v>182</v>
      </c>
      <c r="D92" s="490" t="s">
        <v>71</v>
      </c>
      <c r="E92" s="491"/>
      <c r="F92" s="491"/>
      <c r="G92" s="491"/>
      <c r="H92" s="491"/>
      <c r="I92" s="491"/>
      <c r="J92" s="491"/>
      <c r="K92" s="491"/>
      <c r="L92" s="492"/>
    </row>
    <row r="93" spans="1:22" ht="25" hidden="1" x14ac:dyDescent="0.35">
      <c r="C93" s="38" t="s">
        <v>105</v>
      </c>
      <c r="D93" s="493" t="s">
        <v>88</v>
      </c>
      <c r="E93" s="494"/>
      <c r="F93" s="494"/>
      <c r="G93" s="494"/>
      <c r="H93" s="494"/>
      <c r="I93" s="494"/>
      <c r="J93" s="494"/>
      <c r="K93" s="494"/>
      <c r="L93" s="495"/>
    </row>
    <row r="94" spans="1:22" ht="25" hidden="1" customHeight="1" x14ac:dyDescent="0.35">
      <c r="C94" s="38" t="s">
        <v>106</v>
      </c>
      <c r="D94" s="496" t="s">
        <v>68</v>
      </c>
      <c r="E94" s="497"/>
      <c r="F94" s="497"/>
      <c r="G94" s="497"/>
      <c r="H94" s="497"/>
      <c r="I94" s="497"/>
      <c r="J94" s="497"/>
      <c r="K94" s="497"/>
      <c r="L94" s="498"/>
    </row>
    <row r="95" spans="1:22" ht="25" hidden="1" customHeight="1" x14ac:dyDescent="0.35">
      <c r="C95" s="38" t="s">
        <v>106</v>
      </c>
      <c r="D95" s="499" t="s">
        <v>89</v>
      </c>
      <c r="E95" s="500"/>
      <c r="F95" s="500"/>
      <c r="G95" s="500"/>
      <c r="H95" s="500"/>
      <c r="I95" s="500"/>
      <c r="J95" s="500"/>
      <c r="K95" s="500"/>
      <c r="L95" s="501"/>
    </row>
    <row r="96" spans="1:22" ht="25" hidden="1" x14ac:dyDescent="0.35">
      <c r="C96" s="38" t="s">
        <v>111</v>
      </c>
      <c r="D96" s="476" t="s">
        <v>70</v>
      </c>
      <c r="E96" s="477"/>
      <c r="F96" s="477"/>
      <c r="G96" s="477"/>
      <c r="H96" s="477"/>
      <c r="I96" s="477"/>
      <c r="J96" s="477"/>
      <c r="K96" s="477"/>
      <c r="L96" s="478"/>
    </row>
    <row r="97" spans="3:12" ht="25" hidden="1" x14ac:dyDescent="0.35">
      <c r="C97" s="38" t="s">
        <v>183</v>
      </c>
      <c r="D97" s="479" t="s">
        <v>72</v>
      </c>
      <c r="E97" s="480"/>
      <c r="F97" s="480"/>
      <c r="G97" s="480"/>
      <c r="H97" s="480"/>
      <c r="I97" s="480"/>
      <c r="J97" s="480"/>
      <c r="K97" s="480"/>
      <c r="L97" s="481"/>
    </row>
    <row r="98" spans="3:12" hidden="1" x14ac:dyDescent="0.35">
      <c r="C98" s="38"/>
      <c r="D98" s="487" t="s">
        <v>69</v>
      </c>
      <c r="E98" s="488"/>
      <c r="F98" s="488"/>
      <c r="G98" s="488"/>
      <c r="H98" s="488"/>
      <c r="I98" s="488"/>
      <c r="J98" s="488"/>
      <c r="K98" s="488"/>
      <c r="L98" s="489"/>
    </row>
  </sheetData>
  <sheetProtection algorithmName="SHA-512" hashValue="vwhdLCKcc38YKX/pqXHMZcUtAIwig+LlcfZpK/X3rntU4kNLdMXWu/rCyAPUzXtu7Tuef83bLj1UJtcUMvxU1g==" saltValue="tpCiT8pi4fqKGRUNzWLYJg==" spinCount="100000" sheet="1" objects="1" scenarios="1"/>
  <mergeCells count="14">
    <mergeCell ref="A68:A71"/>
    <mergeCell ref="A72:A73"/>
    <mergeCell ref="D80:G80"/>
    <mergeCell ref="D98:L98"/>
    <mergeCell ref="D91:L91"/>
    <mergeCell ref="D92:L92"/>
    <mergeCell ref="D93:L93"/>
    <mergeCell ref="D94:L94"/>
    <mergeCell ref="D95:L95"/>
    <mergeCell ref="D63:H63"/>
    <mergeCell ref="D69:H69"/>
    <mergeCell ref="D96:L96"/>
    <mergeCell ref="D97:L97"/>
    <mergeCell ref="D83:G83"/>
  </mergeCells>
  <phoneticPr fontId="23" type="noConversion"/>
  <pageMargins left="0.7" right="0.7" top="0.75" bottom="0.75" header="0.3" footer="0.3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">
    <pageSetUpPr fitToPage="1"/>
  </sheetPr>
  <dimension ref="A1:O89"/>
  <sheetViews>
    <sheetView showGridLines="0" showRowColHeaders="0" view="pageBreakPreview" topLeftCell="A31" zoomScale="60" zoomScaleNormal="50" zoomScalePageLayoutView="80" workbookViewId="0">
      <selection activeCell="J51" sqref="J51"/>
    </sheetView>
  </sheetViews>
  <sheetFormatPr baseColWidth="10" defaultColWidth="11.453125" defaultRowHeight="13.5" x14ac:dyDescent="0.25"/>
  <cols>
    <col min="1" max="1" width="2.81640625" style="1" customWidth="1"/>
    <col min="2" max="2" width="23.08984375" style="1" customWidth="1"/>
    <col min="3" max="3" width="22.54296875" style="1" customWidth="1"/>
    <col min="4" max="4" width="44" style="1" customWidth="1"/>
    <col min="5" max="5" width="21.1796875" style="16" customWidth="1"/>
    <col min="6" max="6" width="22.7265625" style="1" customWidth="1"/>
    <col min="7" max="7" width="20.26953125" style="1" customWidth="1"/>
    <col min="8" max="8" width="9.36328125" style="1" customWidth="1"/>
    <col min="9" max="9" width="7.36328125" style="1" customWidth="1"/>
    <col min="10" max="10" width="12.54296875" style="1" customWidth="1"/>
    <col min="11" max="11" width="19.54296875" style="49" customWidth="1"/>
    <col min="12" max="12" width="23.26953125" style="1" customWidth="1"/>
    <col min="13" max="13" width="19.08984375" style="1" customWidth="1"/>
    <col min="14" max="14" width="20.90625" style="1" customWidth="1"/>
    <col min="15" max="15" width="13.453125" style="1" bestFit="1" customWidth="1"/>
    <col min="16" max="16384" width="11.453125" style="1"/>
  </cols>
  <sheetData>
    <row r="1" spans="2:14" ht="127" customHeight="1" x14ac:dyDescent="0.25">
      <c r="B1" s="322"/>
      <c r="C1" s="323"/>
      <c r="D1" s="129"/>
      <c r="E1" s="130"/>
      <c r="F1" s="129"/>
      <c r="G1" s="129"/>
      <c r="H1" s="129"/>
      <c r="I1" s="129"/>
      <c r="J1" s="129"/>
      <c r="K1" s="90"/>
      <c r="L1" s="129"/>
      <c r="M1" s="131"/>
      <c r="N1" s="44"/>
    </row>
    <row r="2" spans="2:14" ht="109.5" customHeight="1" x14ac:dyDescent="0.25">
      <c r="B2" s="23"/>
      <c r="C2" s="4"/>
      <c r="D2" s="132"/>
      <c r="E2" s="15" t="s">
        <v>7</v>
      </c>
      <c r="F2" s="5"/>
      <c r="G2" s="5"/>
      <c r="H2" s="5"/>
      <c r="I2" s="5"/>
      <c r="J2" s="5"/>
      <c r="K2" s="5"/>
      <c r="L2" s="5"/>
      <c r="M2" s="29"/>
      <c r="N2" s="45"/>
    </row>
    <row r="3" spans="2:14" ht="11.5" customHeight="1" x14ac:dyDescent="0.25">
      <c r="B3" s="23"/>
      <c r="C3" s="4"/>
      <c r="D3" s="4"/>
      <c r="E3" s="15"/>
      <c r="F3" s="5"/>
      <c r="G3" s="5"/>
      <c r="H3" s="5"/>
      <c r="I3" s="5"/>
      <c r="J3" s="5"/>
      <c r="K3" s="5"/>
      <c r="L3" s="5"/>
      <c r="M3" s="80"/>
      <c r="N3" s="4"/>
    </row>
    <row r="4" spans="2:14" ht="17.5" x14ac:dyDescent="0.25">
      <c r="B4" s="23"/>
      <c r="C4" s="4"/>
      <c r="D4" s="4"/>
      <c r="E4" s="4"/>
      <c r="F4" s="4"/>
      <c r="G4" s="4"/>
      <c r="H4" s="4"/>
      <c r="I4" s="4"/>
      <c r="J4" s="4"/>
      <c r="K4" s="4"/>
      <c r="L4" s="4"/>
      <c r="M4" s="80"/>
      <c r="N4" s="4"/>
    </row>
    <row r="5" spans="2:14" ht="17.5" x14ac:dyDescent="0.25">
      <c r="B5" s="23"/>
      <c r="C5" s="4"/>
      <c r="D5" s="4"/>
      <c r="E5" s="4"/>
      <c r="F5" s="4"/>
      <c r="G5" s="4"/>
      <c r="H5" s="4"/>
      <c r="I5" s="4"/>
      <c r="J5" s="4"/>
      <c r="K5" s="4"/>
      <c r="L5" s="4"/>
      <c r="M5" s="80"/>
      <c r="N5" s="4"/>
    </row>
    <row r="6" spans="2:14" ht="17.5" x14ac:dyDescent="0.25">
      <c r="B6" s="23"/>
      <c r="C6" s="4"/>
      <c r="D6" s="4"/>
      <c r="E6" s="4"/>
      <c r="F6" s="4"/>
      <c r="G6" s="4"/>
      <c r="H6" s="4"/>
      <c r="I6" s="4"/>
      <c r="J6" s="4"/>
      <c r="K6" s="4"/>
      <c r="L6" s="4"/>
      <c r="M6" s="80"/>
      <c r="N6" s="4"/>
    </row>
    <row r="7" spans="2:14" ht="17.5" x14ac:dyDescent="0.25">
      <c r="B7" s="23"/>
      <c r="C7" s="4"/>
      <c r="D7" s="4"/>
      <c r="E7" s="4"/>
      <c r="F7" s="4"/>
      <c r="G7" s="4"/>
      <c r="H7" s="4"/>
      <c r="I7" s="4"/>
      <c r="J7" s="4"/>
      <c r="K7" s="4"/>
      <c r="L7" s="4"/>
      <c r="M7" s="80"/>
      <c r="N7" s="4"/>
    </row>
    <row r="8" spans="2:14" ht="17.5" x14ac:dyDescent="0.25">
      <c r="B8" s="23"/>
      <c r="C8" s="4"/>
      <c r="D8" s="4"/>
      <c r="E8" s="4"/>
      <c r="F8" s="4"/>
      <c r="G8" s="4"/>
      <c r="H8" s="4"/>
      <c r="I8" s="4"/>
      <c r="J8" s="4"/>
      <c r="K8" s="4"/>
      <c r="L8" s="4"/>
      <c r="M8" s="80"/>
      <c r="N8" s="4"/>
    </row>
    <row r="9" spans="2:14" ht="17.5" x14ac:dyDescent="0.25">
      <c r="B9" s="23"/>
      <c r="C9" s="4"/>
      <c r="D9" s="4"/>
      <c r="E9" s="4"/>
      <c r="F9" s="4"/>
      <c r="G9" s="4"/>
      <c r="H9" s="4"/>
      <c r="I9" s="4"/>
      <c r="J9" s="4"/>
      <c r="K9" s="4"/>
      <c r="L9" s="4"/>
      <c r="M9" s="80"/>
      <c r="N9" s="4"/>
    </row>
    <row r="10" spans="2:14" ht="17.5" x14ac:dyDescent="0.25">
      <c r="B10" s="23"/>
      <c r="C10" s="4"/>
      <c r="D10" s="4"/>
      <c r="E10" s="4"/>
      <c r="F10" s="4"/>
      <c r="G10" s="4"/>
      <c r="H10" s="4"/>
      <c r="I10" s="4"/>
      <c r="J10" s="4"/>
      <c r="K10" s="4"/>
      <c r="L10" s="4"/>
      <c r="M10" s="80"/>
      <c r="N10" s="4"/>
    </row>
    <row r="11" spans="2:14" ht="17.5" x14ac:dyDescent="0.25">
      <c r="B11" s="23"/>
      <c r="C11" s="4"/>
      <c r="D11" s="4"/>
      <c r="E11" s="4"/>
      <c r="F11" s="4"/>
      <c r="G11" s="4"/>
      <c r="H11" s="4"/>
      <c r="I11" s="4"/>
      <c r="J11" s="4"/>
      <c r="K11" s="4"/>
      <c r="L11" s="4"/>
      <c r="M11" s="80"/>
      <c r="N11" s="4"/>
    </row>
    <row r="12" spans="2:14" ht="17.5" x14ac:dyDescent="0.25">
      <c r="B12" s="23"/>
      <c r="C12" s="4"/>
      <c r="D12" s="4"/>
      <c r="E12" s="4"/>
      <c r="F12" s="4"/>
      <c r="G12" s="4"/>
      <c r="H12" s="4"/>
      <c r="I12" s="4"/>
      <c r="J12" s="4"/>
      <c r="K12" s="4"/>
      <c r="L12" s="4"/>
      <c r="M12" s="80"/>
      <c r="N12" s="4"/>
    </row>
    <row r="13" spans="2:14" ht="17.5" x14ac:dyDescent="0.25">
      <c r="B13" s="23"/>
      <c r="C13" s="4"/>
      <c r="D13" s="4"/>
      <c r="E13" s="4"/>
      <c r="F13" s="4"/>
      <c r="G13" s="4"/>
      <c r="H13" s="4"/>
      <c r="I13" s="4"/>
      <c r="J13" s="4"/>
      <c r="K13" s="4"/>
      <c r="L13" s="4"/>
      <c r="M13" s="80"/>
      <c r="N13" s="4"/>
    </row>
    <row r="14" spans="2:14" ht="17.5" x14ac:dyDescent="0.25">
      <c r="B14" s="23"/>
      <c r="C14" s="4"/>
      <c r="D14" s="4"/>
      <c r="E14" s="4"/>
      <c r="F14" s="4"/>
      <c r="G14" s="4"/>
      <c r="H14" s="4"/>
      <c r="I14" s="4"/>
      <c r="J14" s="4"/>
      <c r="K14" s="4"/>
      <c r="L14" s="4"/>
      <c r="M14" s="80"/>
      <c r="N14" s="4"/>
    </row>
    <row r="15" spans="2:14" ht="17.5" x14ac:dyDescent="0.25">
      <c r="B15" s="23"/>
      <c r="C15" s="4"/>
      <c r="D15" s="4"/>
      <c r="E15" s="4"/>
      <c r="F15" s="4"/>
      <c r="G15" s="4"/>
      <c r="H15" s="4"/>
      <c r="I15" s="4"/>
      <c r="J15" s="4"/>
      <c r="K15" s="4"/>
      <c r="L15" s="4"/>
      <c r="M15" s="80"/>
      <c r="N15" s="4"/>
    </row>
    <row r="16" spans="2:14" ht="17.5" x14ac:dyDescent="0.25">
      <c r="B16" s="23"/>
      <c r="C16" s="4"/>
      <c r="D16" s="4"/>
      <c r="E16" s="4"/>
      <c r="F16" s="4"/>
      <c r="G16" s="4"/>
      <c r="H16" s="4"/>
      <c r="I16" s="4"/>
      <c r="J16" s="4"/>
      <c r="K16" s="4"/>
      <c r="L16" s="4"/>
      <c r="M16" s="80"/>
      <c r="N16" s="4"/>
    </row>
    <row r="17" spans="2:15" ht="17.5" x14ac:dyDescent="0.25">
      <c r="B17" s="23"/>
      <c r="C17" s="4"/>
      <c r="D17" s="4"/>
      <c r="E17" s="4"/>
      <c r="F17" s="4"/>
      <c r="G17" s="4"/>
      <c r="H17" s="4"/>
      <c r="I17" s="4"/>
      <c r="J17" s="4"/>
      <c r="K17" s="4"/>
      <c r="L17" s="4"/>
      <c r="M17" s="80"/>
      <c r="N17" s="4"/>
    </row>
    <row r="18" spans="2:15" ht="17.5" x14ac:dyDescent="0.25">
      <c r="B18" s="23"/>
      <c r="C18" s="4"/>
      <c r="D18" s="4"/>
      <c r="E18" s="4"/>
      <c r="F18" s="4"/>
      <c r="G18" s="4"/>
      <c r="H18" s="4"/>
      <c r="I18" s="4"/>
      <c r="J18" s="4"/>
      <c r="K18" s="4"/>
      <c r="L18" s="4"/>
      <c r="M18" s="80"/>
      <c r="N18" s="4"/>
    </row>
    <row r="19" spans="2:15" ht="17.5" x14ac:dyDescent="0.25">
      <c r="B19" s="23"/>
      <c r="C19" s="4"/>
      <c r="D19" s="4"/>
      <c r="E19" s="4"/>
      <c r="F19" s="4"/>
      <c r="G19" s="4"/>
      <c r="H19" s="4"/>
      <c r="I19" s="4"/>
      <c r="J19" s="4"/>
      <c r="K19" s="4"/>
      <c r="L19" s="4"/>
      <c r="M19" s="80"/>
      <c r="N19" s="4"/>
    </row>
    <row r="20" spans="2:15" ht="18" thickBot="1" x14ac:dyDescent="0.3">
      <c r="B20" s="23"/>
      <c r="C20" s="4"/>
      <c r="D20" s="4"/>
      <c r="E20" s="4"/>
      <c r="F20" s="4"/>
      <c r="G20" s="4"/>
      <c r="H20" s="4"/>
      <c r="I20" s="4"/>
      <c r="J20" s="4"/>
      <c r="K20" s="4"/>
      <c r="L20" s="4"/>
      <c r="M20" s="80"/>
      <c r="N20" s="4"/>
    </row>
    <row r="21" spans="2:15" ht="35" customHeight="1" x14ac:dyDescent="0.25">
      <c r="B21" s="23"/>
      <c r="C21" s="403" t="s">
        <v>305</v>
      </c>
      <c r="D21" s="542" t="s">
        <v>31</v>
      </c>
      <c r="E21" s="543"/>
      <c r="F21" s="4"/>
      <c r="G21" s="4"/>
      <c r="H21" s="4"/>
      <c r="I21" s="4"/>
      <c r="J21" s="4"/>
      <c r="K21" s="4"/>
      <c r="L21" s="4"/>
      <c r="M21" s="80"/>
      <c r="N21" s="4"/>
    </row>
    <row r="22" spans="2:15" ht="29.5" customHeight="1" thickBot="1" x14ac:dyDescent="0.3">
      <c r="B22" s="23"/>
      <c r="C22" s="245" t="s">
        <v>241</v>
      </c>
      <c r="D22" s="540" t="s">
        <v>102</v>
      </c>
      <c r="E22" s="541"/>
      <c r="F22" s="4"/>
      <c r="G22" s="4"/>
      <c r="H22" s="4"/>
      <c r="I22" s="4"/>
      <c r="J22" s="4"/>
      <c r="K22" s="4"/>
      <c r="L22" s="4"/>
      <c r="M22" s="80"/>
      <c r="N22" s="4"/>
    </row>
    <row r="23" spans="2:15" ht="17.5" x14ac:dyDescent="0.25">
      <c r="B23" s="23"/>
      <c r="C23" s="4"/>
      <c r="D23" s="4"/>
      <c r="E23" s="4"/>
      <c r="F23" s="4"/>
      <c r="G23" s="4"/>
      <c r="H23" s="4"/>
      <c r="I23" s="4"/>
      <c r="J23" s="4"/>
      <c r="K23" s="4"/>
      <c r="L23" s="4"/>
      <c r="M23" s="80"/>
      <c r="N23" s="4"/>
    </row>
    <row r="24" spans="2:15" ht="18" thickBot="1" x14ac:dyDescent="0.3">
      <c r="B24" s="23"/>
      <c r="C24" s="4"/>
      <c r="D24" s="4"/>
      <c r="E24" s="4"/>
      <c r="F24" s="4"/>
      <c r="G24" s="4"/>
      <c r="H24" s="4"/>
      <c r="I24" s="4"/>
      <c r="J24" s="4"/>
      <c r="K24" s="4"/>
      <c r="L24" s="4"/>
      <c r="M24" s="80"/>
      <c r="N24" s="4"/>
    </row>
    <row r="25" spans="2:15" ht="25" customHeight="1" thickBot="1" x14ac:dyDescent="0.35">
      <c r="B25" s="24"/>
      <c r="C25" s="505" t="s">
        <v>10</v>
      </c>
      <c r="D25" s="506"/>
      <c r="E25" s="506"/>
      <c r="F25" s="506"/>
      <c r="G25" s="506"/>
      <c r="H25" s="506"/>
      <c r="I25" s="506"/>
      <c r="J25" s="506"/>
      <c r="K25" s="506"/>
      <c r="L25" s="507"/>
      <c r="M25" s="82"/>
      <c r="N25" s="4"/>
      <c r="O25" s="4"/>
    </row>
    <row r="26" spans="2:15" ht="8.5" customHeight="1" thickBot="1" x14ac:dyDescent="0.35">
      <c r="B26" s="24"/>
      <c r="C26" s="19"/>
      <c r="D26" s="19"/>
      <c r="E26" s="20"/>
      <c r="F26" s="19"/>
      <c r="G26" s="19"/>
      <c r="H26" s="19"/>
      <c r="I26" s="19"/>
      <c r="J26" s="19"/>
      <c r="K26" s="21"/>
      <c r="L26" s="75"/>
      <c r="M26" s="82"/>
      <c r="N26" s="4"/>
    </row>
    <row r="27" spans="2:15" ht="56.5" customHeight="1" thickBot="1" x14ac:dyDescent="0.35">
      <c r="B27" s="24"/>
      <c r="C27" s="76" t="s">
        <v>11</v>
      </c>
      <c r="D27" s="370" t="s">
        <v>0</v>
      </c>
      <c r="E27" s="536" t="s">
        <v>3</v>
      </c>
      <c r="F27" s="536"/>
      <c r="G27" s="536" t="s">
        <v>1</v>
      </c>
      <c r="H27" s="536"/>
      <c r="I27" s="536"/>
      <c r="J27" s="370" t="s">
        <v>8</v>
      </c>
      <c r="K27" s="536" t="s">
        <v>4</v>
      </c>
      <c r="L27" s="537"/>
      <c r="M27" s="82"/>
      <c r="N27" s="4"/>
      <c r="O27" s="4"/>
    </row>
    <row r="28" spans="2:15" ht="20.5" customHeight="1" x14ac:dyDescent="0.3">
      <c r="B28" s="24"/>
      <c r="C28" s="77"/>
      <c r="D28" s="508" t="s">
        <v>20</v>
      </c>
      <c r="E28" s="509"/>
      <c r="F28" s="509"/>
      <c r="G28" s="509"/>
      <c r="H28" s="509"/>
      <c r="I28" s="509"/>
      <c r="J28" s="509"/>
      <c r="K28" s="509"/>
      <c r="L28" s="510"/>
      <c r="M28" s="82"/>
      <c r="N28" s="4"/>
    </row>
    <row r="29" spans="2:15" ht="21" customHeight="1" x14ac:dyDescent="0.3">
      <c r="B29" s="24"/>
      <c r="C29" s="229">
        <f>VLOOKUP(D29,DATA!C14:H15,2,0)</f>
        <v>4121</v>
      </c>
      <c r="D29" s="230" t="s">
        <v>13</v>
      </c>
      <c r="E29" s="371">
        <v>1</v>
      </c>
      <c r="F29" s="371" t="str">
        <f>VLOOKUP(D29,DATA!C14:G15,4,0)</f>
        <v>Unidad x 3 Gal</v>
      </c>
      <c r="G29" s="371" t="s">
        <v>21</v>
      </c>
      <c r="H29" s="231">
        <f>VLOOKUP(D29,DATA!C14:G15,5,0)</f>
        <v>55.7</v>
      </c>
      <c r="I29" s="371" t="s">
        <v>240</v>
      </c>
      <c r="J29" s="522">
        <v>100</v>
      </c>
      <c r="K29" s="232">
        <f>ROUNDUP(((J29/H29)*1.05),0)</f>
        <v>2</v>
      </c>
      <c r="L29" s="397" t="str">
        <f>VLOOKUP(D29,DATA!C14:G15,4,0)</f>
        <v>Unidad x 3 Gal</v>
      </c>
      <c r="M29" s="82"/>
      <c r="N29" s="4"/>
    </row>
    <row r="30" spans="2:15" ht="22" customHeight="1" thickBot="1" x14ac:dyDescent="0.35">
      <c r="B30" s="24"/>
      <c r="C30" s="233">
        <v>3073</v>
      </c>
      <c r="D30" s="234" t="s">
        <v>197</v>
      </c>
      <c r="E30" s="372">
        <f>VLOOKUP(D29,DATA!C14:H15,6,0)</f>
        <v>1</v>
      </c>
      <c r="F30" s="372" t="s">
        <v>23</v>
      </c>
      <c r="G30" s="372" t="s">
        <v>24</v>
      </c>
      <c r="H30" s="235">
        <v>200</v>
      </c>
      <c r="I30" s="372" t="s">
        <v>240</v>
      </c>
      <c r="J30" s="523"/>
      <c r="K30" s="236">
        <f>ROUNDUP((((J29/H30)*1.05)*E30),0)</f>
        <v>1</v>
      </c>
      <c r="L30" s="398" t="s">
        <v>17</v>
      </c>
      <c r="M30" s="82"/>
      <c r="N30" s="4"/>
    </row>
    <row r="31" spans="2:15" ht="20.5" customHeight="1" thickBot="1" x14ac:dyDescent="0.35">
      <c r="B31" s="24"/>
      <c r="C31" s="511" t="s">
        <v>243</v>
      </c>
      <c r="D31" s="512"/>
      <c r="E31" s="512"/>
      <c r="F31" s="512"/>
      <c r="G31" s="512"/>
      <c r="H31" s="512"/>
      <c r="I31" s="512"/>
      <c r="J31" s="512"/>
      <c r="K31" s="512"/>
      <c r="L31" s="513"/>
      <c r="M31" s="82"/>
      <c r="N31" s="4"/>
    </row>
    <row r="32" spans="2:15" ht="25.5" customHeight="1" x14ac:dyDescent="0.3">
      <c r="B32" s="24"/>
      <c r="C32" s="78"/>
      <c r="D32" s="514" t="str">
        <f>VLOOKUP(D21,DATA!$C$64:$T$68,18,0)</f>
        <v>Flowfresh HF - Kit X 59,9 Kg/132 Lb</v>
      </c>
      <c r="E32" s="503"/>
      <c r="F32" s="503"/>
      <c r="G32" s="503"/>
      <c r="H32" s="503"/>
      <c r="I32" s="503"/>
      <c r="J32" s="503"/>
      <c r="K32" s="503"/>
      <c r="L32" s="504"/>
      <c r="M32" s="82"/>
      <c r="N32" s="4"/>
    </row>
    <row r="33" spans="2:15" ht="22" customHeight="1" x14ac:dyDescent="0.3">
      <c r="B33" s="24"/>
      <c r="C33" s="520">
        <f>VLOOKUP($D$21,DATA!$C$64:$T$68,8,0)</f>
        <v>7933</v>
      </c>
      <c r="D33" s="402" t="s">
        <v>316</v>
      </c>
      <c r="E33" s="371">
        <v>2</v>
      </c>
      <c r="F33" s="371" t="s">
        <v>81</v>
      </c>
      <c r="G33" s="538" t="s">
        <v>2</v>
      </c>
      <c r="H33" s="538">
        <f>DATA!W64</f>
        <v>3.2</v>
      </c>
      <c r="I33" s="538" t="s">
        <v>240</v>
      </c>
      <c r="J33" s="534">
        <v>100</v>
      </c>
      <c r="K33" s="526">
        <f>ROUNDUP((($J$33/$H$33)*E33)*1.05,0)/2</f>
        <v>33</v>
      </c>
      <c r="L33" s="524" t="s">
        <v>312</v>
      </c>
      <c r="M33" s="82"/>
      <c r="N33" s="4"/>
    </row>
    <row r="34" spans="2:15" ht="27" x14ac:dyDescent="0.3">
      <c r="B34" s="24"/>
      <c r="C34" s="521"/>
      <c r="D34" s="228" t="str">
        <f>VLOOKUP(D21,DATA!$C$64:$T$68,9,0)</f>
        <v>Flowfresh HF Filler</v>
      </c>
      <c r="E34" s="371">
        <v>2</v>
      </c>
      <c r="F34" s="238" t="str">
        <f>VLOOKUP($D$21,DATA!$C$64:$L$68,10,0)</f>
        <v>Unidad x 55 Lb /
24,9 Kg</v>
      </c>
      <c r="G34" s="538"/>
      <c r="H34" s="538"/>
      <c r="I34" s="538"/>
      <c r="J34" s="534"/>
      <c r="K34" s="527"/>
      <c r="L34" s="525"/>
      <c r="M34" s="82"/>
      <c r="N34" s="4"/>
    </row>
    <row r="35" spans="2:15" ht="24" customHeight="1" thickBot="1" x14ac:dyDescent="0.35">
      <c r="B35" s="24"/>
      <c r="C35" s="233">
        <f>VLOOKUP(D35,DATA!C4:G10,2,0)</f>
        <v>5830</v>
      </c>
      <c r="D35" s="239" t="s">
        <v>318</v>
      </c>
      <c r="E35" s="372">
        <v>2</v>
      </c>
      <c r="F35" s="378" t="s">
        <v>244</v>
      </c>
      <c r="G35" s="539"/>
      <c r="H35" s="539"/>
      <c r="I35" s="539"/>
      <c r="J35" s="535"/>
      <c r="K35" s="240">
        <f>K33*2</f>
        <v>66</v>
      </c>
      <c r="L35" s="399" t="s">
        <v>245</v>
      </c>
      <c r="M35" s="82"/>
      <c r="N35" s="4"/>
    </row>
    <row r="36" spans="2:15" ht="20.5" customHeight="1" x14ac:dyDescent="0.3">
      <c r="B36" s="24"/>
      <c r="C36" s="511" t="str">
        <f>VLOOKUP(D21,DATA!C64:O68,13,0)</f>
        <v>Si desea un acabado mas rugoso para este sistema, debe diligenciar las casillas de "Acabado Antideslizante" de la siguiente seccion y proteger el riego seleccionado con un sello del acabado deseado.</v>
      </c>
      <c r="D36" s="512"/>
      <c r="E36" s="512"/>
      <c r="F36" s="512"/>
      <c r="G36" s="512"/>
      <c r="H36" s="512"/>
      <c r="I36" s="512"/>
      <c r="J36" s="512"/>
      <c r="K36" s="512"/>
      <c r="L36" s="513"/>
      <c r="M36" s="82"/>
      <c r="N36" s="4"/>
    </row>
    <row r="37" spans="2:15" ht="14.5" customHeight="1" thickBot="1" x14ac:dyDescent="0.35">
      <c r="B37" s="24"/>
      <c r="C37" s="515"/>
      <c r="D37" s="516"/>
      <c r="E37" s="516"/>
      <c r="F37" s="516"/>
      <c r="G37" s="516"/>
      <c r="H37" s="516"/>
      <c r="I37" s="516"/>
      <c r="J37" s="516"/>
      <c r="K37" s="516"/>
      <c r="L37" s="517"/>
      <c r="M37" s="82"/>
      <c r="N37" s="4"/>
    </row>
    <row r="38" spans="2:15" ht="22" customHeight="1" x14ac:dyDescent="0.3">
      <c r="B38" s="24"/>
      <c r="C38" s="77"/>
      <c r="D38" s="514" t="s">
        <v>237</v>
      </c>
      <c r="E38" s="503"/>
      <c r="F38" s="503"/>
      <c r="G38" s="503"/>
      <c r="H38" s="503"/>
      <c r="I38" s="503"/>
      <c r="J38" s="503"/>
      <c r="K38" s="503"/>
      <c r="L38" s="504"/>
      <c r="M38" s="82"/>
      <c r="N38" s="4"/>
    </row>
    <row r="39" spans="2:15" ht="24.5" customHeight="1" thickBot="1" x14ac:dyDescent="0.35">
      <c r="B39" s="24"/>
      <c r="C39" s="241">
        <f>VLOOKUP(D39,DATA!C25:G39,2,0)</f>
        <v>0</v>
      </c>
      <c r="D39" s="239" t="s">
        <v>233</v>
      </c>
      <c r="E39" s="372">
        <v>1</v>
      </c>
      <c r="F39" s="372" t="str">
        <f>VLOOKUP(D39,DATA!C25:G39,4,0)</f>
        <v>Bolsa x 50 Lb</v>
      </c>
      <c r="G39" s="372" t="s">
        <v>24</v>
      </c>
      <c r="H39" s="372">
        <f>VLOOKUP(D39,DATA!C25:G39,5,0)</f>
        <v>4.54</v>
      </c>
      <c r="I39" s="372" t="s">
        <v>240</v>
      </c>
      <c r="J39" s="242">
        <v>100</v>
      </c>
      <c r="K39" s="372">
        <f>ROUNDUP(((($J$39/$H$39))*1.05)*$E$39,0)</f>
        <v>24</v>
      </c>
      <c r="L39" s="400" t="str">
        <f>VLOOKUP(D39,DATA!C25:G39,4,0)</f>
        <v>Bolsa x 50 Lb</v>
      </c>
      <c r="M39" s="82"/>
      <c r="N39" s="4"/>
    </row>
    <row r="40" spans="2:15" ht="18" customHeight="1" x14ac:dyDescent="0.3">
      <c r="B40" s="24"/>
      <c r="C40" s="528" t="str">
        <f>C36</f>
        <v>Si desea un acabado mas rugoso para este sistema, debe diligenciar las casillas de "Acabado Antideslizante" de la siguiente seccion y proteger el riego seleccionado con un sello del acabado deseado.</v>
      </c>
      <c r="D40" s="529"/>
      <c r="E40" s="529"/>
      <c r="F40" s="529"/>
      <c r="G40" s="529"/>
      <c r="H40" s="529"/>
      <c r="I40" s="529"/>
      <c r="J40" s="529"/>
      <c r="K40" s="529"/>
      <c r="L40" s="530"/>
      <c r="M40" s="82"/>
      <c r="N40" s="4"/>
    </row>
    <row r="41" spans="2:15" ht="18" thickBot="1" x14ac:dyDescent="0.35">
      <c r="B41" s="24"/>
      <c r="C41" s="531"/>
      <c r="D41" s="532"/>
      <c r="E41" s="532"/>
      <c r="F41" s="532"/>
      <c r="G41" s="532"/>
      <c r="H41" s="532"/>
      <c r="I41" s="532"/>
      <c r="J41" s="532"/>
      <c r="K41" s="532"/>
      <c r="L41" s="533"/>
      <c r="M41" s="82"/>
      <c r="N41" s="4"/>
    </row>
    <row r="42" spans="2:15" ht="23.5" customHeight="1" x14ac:dyDescent="0.3">
      <c r="B42" s="24"/>
      <c r="C42" s="77"/>
      <c r="D42" s="502" t="s">
        <v>91</v>
      </c>
      <c r="E42" s="503"/>
      <c r="F42" s="503"/>
      <c r="G42" s="503"/>
      <c r="H42" s="503"/>
      <c r="I42" s="503"/>
      <c r="J42" s="503"/>
      <c r="K42" s="503"/>
      <c r="L42" s="504"/>
      <c r="M42" s="82"/>
      <c r="N42" s="4"/>
    </row>
    <row r="43" spans="2:15" ht="34" customHeight="1" x14ac:dyDescent="0.25">
      <c r="B43" s="24"/>
      <c r="C43" s="243">
        <f>VLOOKUP(D43,DATA!C42:G48,2,0)</f>
        <v>7899</v>
      </c>
      <c r="D43" s="244" t="s">
        <v>49</v>
      </c>
      <c r="E43" s="367">
        <v>1</v>
      </c>
      <c r="F43" s="367" t="str">
        <f>VLOOKUP(D43,DATA!C42:G48,4,0)</f>
        <v>Kit x  23,8 Lb</v>
      </c>
      <c r="G43" s="550" t="s">
        <v>113</v>
      </c>
      <c r="H43" s="518">
        <f>VLOOKUP(D43,DATA!C42:G48,5,0)</f>
        <v>21.4</v>
      </c>
      <c r="I43" s="518" t="s">
        <v>240</v>
      </c>
      <c r="J43" s="522">
        <v>100</v>
      </c>
      <c r="K43" s="367">
        <f>ROUNDUP(((($J$43/$H$43))*1.05)*$E$43,0)</f>
        <v>5</v>
      </c>
      <c r="L43" s="401" t="str">
        <f>VLOOKUP(D43,DATA!C42:G48,4,0)</f>
        <v>Kit x  23,8 Lb</v>
      </c>
      <c r="M43" s="85"/>
      <c r="N43" s="4"/>
    </row>
    <row r="44" spans="2:15" ht="22" customHeight="1" thickBot="1" x14ac:dyDescent="0.3">
      <c r="B44" s="24"/>
      <c r="C44" s="241">
        <f>VLOOKUP(D44,DATA!C4:F10,2,0)</f>
        <v>5830</v>
      </c>
      <c r="D44" s="239" t="s">
        <v>318</v>
      </c>
      <c r="E44" s="372">
        <f>VLOOKUP(D43,DATA!C43:I48,7,0)</f>
        <v>1</v>
      </c>
      <c r="F44" s="378" t="s">
        <v>244</v>
      </c>
      <c r="G44" s="551"/>
      <c r="H44" s="519"/>
      <c r="I44" s="519"/>
      <c r="J44" s="523"/>
      <c r="K44" s="372">
        <f>K43*E44</f>
        <v>5</v>
      </c>
      <c r="L44" s="399" t="s">
        <v>245</v>
      </c>
      <c r="M44" s="85"/>
      <c r="N44" s="4"/>
    </row>
    <row r="45" spans="2:15" ht="20.5" customHeight="1" x14ac:dyDescent="0.25">
      <c r="B45" s="74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85"/>
      <c r="N45" s="4"/>
    </row>
    <row r="46" spans="2:15" x14ac:dyDescent="0.25">
      <c r="B46" s="74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85"/>
      <c r="O46" s="33"/>
    </row>
    <row r="47" spans="2:15" ht="21" customHeight="1" x14ac:dyDescent="0.25">
      <c r="B47" s="74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85"/>
    </row>
    <row r="48" spans="2:15" x14ac:dyDescent="0.25">
      <c r="B48" s="74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85"/>
    </row>
    <row r="49" spans="2:14" x14ac:dyDescent="0.25">
      <c r="B49" s="74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85"/>
      <c r="N49" s="22"/>
    </row>
    <row r="50" spans="2:14" ht="11.5" customHeight="1" x14ac:dyDescent="0.25">
      <c r="B50" s="74"/>
      <c r="C50" s="43"/>
      <c r="D50" s="73"/>
      <c r="E50" s="43"/>
      <c r="F50" s="43"/>
      <c r="G50" s="43"/>
      <c r="H50" s="43"/>
      <c r="I50" s="43"/>
      <c r="J50" s="43"/>
      <c r="K50" s="43"/>
      <c r="L50" s="43"/>
      <c r="M50" s="85"/>
      <c r="N50" s="22"/>
    </row>
    <row r="51" spans="2:14" ht="18" customHeight="1" x14ac:dyDescent="0.3">
      <c r="B51" s="74"/>
      <c r="C51" s="43"/>
      <c r="D51" s="7"/>
      <c r="E51" s="32"/>
      <c r="F51" s="43"/>
      <c r="G51" s="43"/>
      <c r="H51" s="43"/>
      <c r="I51" s="43"/>
      <c r="J51" s="32"/>
      <c r="K51" s="50"/>
      <c r="L51" s="32"/>
      <c r="M51" s="83"/>
      <c r="N51" s="32"/>
    </row>
    <row r="52" spans="2:14" ht="20.5" customHeight="1" thickBot="1" x14ac:dyDescent="0.3">
      <c r="B52" s="364" t="s">
        <v>317</v>
      </c>
      <c r="C52" s="19"/>
      <c r="D52" s="87"/>
      <c r="E52" s="17"/>
      <c r="F52" s="6"/>
      <c r="G52" s="43"/>
      <c r="H52" s="43"/>
      <c r="I52" s="43"/>
      <c r="J52" s="43"/>
      <c r="K52" s="43"/>
      <c r="L52" s="43"/>
      <c r="M52" s="85"/>
    </row>
    <row r="53" spans="2:14" ht="15" x14ac:dyDescent="0.3">
      <c r="B53" s="91" t="s">
        <v>25</v>
      </c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88"/>
      <c r="N53" s="19"/>
    </row>
    <row r="54" spans="2:14" ht="13.5" customHeight="1" x14ac:dyDescent="0.25">
      <c r="B54" s="544" t="s">
        <v>29</v>
      </c>
      <c r="C54" s="545"/>
      <c r="D54" s="545"/>
      <c r="E54" s="545"/>
      <c r="F54" s="545"/>
      <c r="G54" s="545"/>
      <c r="H54" s="545"/>
      <c r="I54" s="545"/>
      <c r="J54" s="545"/>
      <c r="K54" s="545"/>
      <c r="L54" s="545"/>
      <c r="M54" s="546"/>
      <c r="N54" s="86"/>
    </row>
    <row r="55" spans="2:14" x14ac:dyDescent="0.25">
      <c r="B55" s="544"/>
      <c r="C55" s="545"/>
      <c r="D55" s="545"/>
      <c r="E55" s="545"/>
      <c r="F55" s="545"/>
      <c r="G55" s="545"/>
      <c r="H55" s="545"/>
      <c r="I55" s="545"/>
      <c r="J55" s="545"/>
      <c r="K55" s="545"/>
      <c r="L55" s="545"/>
      <c r="M55" s="546"/>
      <c r="N55" s="86"/>
    </row>
    <row r="56" spans="2:14" x14ac:dyDescent="0.25">
      <c r="B56" s="547" t="s">
        <v>30</v>
      </c>
      <c r="C56" s="548"/>
      <c r="D56" s="548"/>
      <c r="E56" s="548"/>
      <c r="F56" s="548"/>
      <c r="G56" s="548"/>
      <c r="H56" s="548"/>
      <c r="I56" s="548"/>
      <c r="J56" s="548"/>
      <c r="K56" s="548"/>
      <c r="L56" s="548"/>
      <c r="M56" s="549"/>
      <c r="N56" s="17"/>
    </row>
    <row r="57" spans="2:14" x14ac:dyDescent="0.25">
      <c r="B57" s="373"/>
      <c r="C57" s="374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17"/>
    </row>
    <row r="58" spans="2:14" ht="14" x14ac:dyDescent="0.3">
      <c r="B58" s="25" t="s">
        <v>177</v>
      </c>
      <c r="C58" s="17"/>
      <c r="D58" s="17"/>
      <c r="E58" s="133" t="s">
        <v>171</v>
      </c>
      <c r="F58" s="18"/>
      <c r="G58" s="18"/>
      <c r="H58" s="18"/>
      <c r="I58" s="18"/>
      <c r="J58" s="18"/>
      <c r="K58" s="18"/>
      <c r="L58" s="18"/>
      <c r="M58" s="26"/>
    </row>
    <row r="59" spans="2:14" ht="14.5" x14ac:dyDescent="0.35">
      <c r="B59" s="27" t="s">
        <v>26</v>
      </c>
      <c r="C59" s="17"/>
      <c r="D59" s="17"/>
      <c r="E59" s="134" t="s">
        <v>173</v>
      </c>
      <c r="F59" s="18"/>
      <c r="G59" s="18"/>
      <c r="H59" s="18"/>
      <c r="I59" s="18"/>
      <c r="J59" s="18"/>
      <c r="K59" s="18"/>
      <c r="L59" s="18"/>
      <c r="M59" s="89"/>
      <c r="N59" s="6"/>
    </row>
    <row r="60" spans="2:14" ht="14.5" x14ac:dyDescent="0.35">
      <c r="B60" s="27" t="s">
        <v>93</v>
      </c>
      <c r="C60" s="27"/>
      <c r="D60" s="39"/>
      <c r="E60" s="133" t="s">
        <v>172</v>
      </c>
      <c r="F60" s="18"/>
      <c r="G60" s="18"/>
      <c r="H60" s="6"/>
      <c r="I60" s="18"/>
      <c r="J60" s="18"/>
      <c r="K60" s="18"/>
      <c r="L60" s="6"/>
      <c r="M60" s="89"/>
      <c r="N60" s="6"/>
    </row>
    <row r="61" spans="2:14" ht="14.5" x14ac:dyDescent="0.35">
      <c r="B61" s="27" t="s">
        <v>92</v>
      </c>
      <c r="C61" s="27"/>
      <c r="D61" s="39"/>
      <c r="E61" s="134" t="s">
        <v>174</v>
      </c>
      <c r="F61" s="18"/>
      <c r="G61" s="18"/>
      <c r="H61" s="6"/>
      <c r="I61" s="18"/>
      <c r="J61" s="18"/>
      <c r="K61" s="18"/>
      <c r="L61" s="6"/>
      <c r="M61" s="89"/>
      <c r="N61" s="6"/>
    </row>
    <row r="62" spans="2:14" ht="14.5" x14ac:dyDescent="0.35">
      <c r="B62" s="27" t="s">
        <v>94</v>
      </c>
      <c r="C62" s="27"/>
      <c r="D62" s="39"/>
      <c r="E62" s="135" t="s">
        <v>175</v>
      </c>
      <c r="F62" s="18"/>
      <c r="G62" s="18"/>
      <c r="H62" s="6"/>
      <c r="I62" s="18"/>
      <c r="J62" s="18"/>
      <c r="K62" s="18"/>
      <c r="L62" s="6"/>
      <c r="M62" s="89"/>
      <c r="N62" s="6"/>
    </row>
    <row r="63" spans="2:14" ht="14.5" x14ac:dyDescent="0.35">
      <c r="B63" s="27" t="s">
        <v>179</v>
      </c>
      <c r="C63" s="40"/>
      <c r="D63" s="6"/>
      <c r="E63" s="136" t="s">
        <v>176</v>
      </c>
      <c r="F63" s="18"/>
      <c r="G63" s="18"/>
      <c r="H63" s="6"/>
      <c r="I63" s="18"/>
      <c r="J63" s="18"/>
      <c r="K63" s="18"/>
      <c r="L63" s="6"/>
      <c r="M63" s="89"/>
      <c r="N63" s="6"/>
    </row>
    <row r="64" spans="2:14" x14ac:dyDescent="0.25">
      <c r="B64" s="2"/>
      <c r="C64" s="6"/>
      <c r="D64" s="6"/>
      <c r="E64" s="17"/>
      <c r="F64" s="18"/>
      <c r="G64" s="18"/>
      <c r="H64" s="6"/>
      <c r="I64" s="18"/>
      <c r="J64" s="18"/>
      <c r="K64" s="18"/>
      <c r="L64" s="6"/>
      <c r="M64" s="89"/>
      <c r="N64" s="6"/>
    </row>
    <row r="65" spans="1:15" ht="14.5" x14ac:dyDescent="0.35">
      <c r="B65" s="27"/>
      <c r="C65" s="39"/>
      <c r="D65" s="6"/>
      <c r="E65" s="17"/>
      <c r="F65" s="18"/>
      <c r="G65" s="18"/>
      <c r="H65" s="6"/>
      <c r="I65" s="18"/>
      <c r="J65" s="18"/>
      <c r="K65" s="18"/>
      <c r="L65" s="6"/>
      <c r="M65" s="89"/>
      <c r="N65" s="6"/>
    </row>
    <row r="66" spans="1:15" ht="14" thickBot="1" x14ac:dyDescent="0.3">
      <c r="B66" s="324"/>
      <c r="C66" s="325"/>
      <c r="D66" s="316"/>
      <c r="E66" s="326"/>
      <c r="F66" s="327"/>
      <c r="G66" s="327"/>
      <c r="H66" s="316"/>
      <c r="I66" s="327"/>
      <c r="J66" s="327"/>
      <c r="K66" s="327"/>
      <c r="L66" s="316"/>
      <c r="M66" s="328"/>
      <c r="N66" s="6"/>
      <c r="O66" s="6"/>
    </row>
    <row r="67" spans="1:15" ht="14.5" x14ac:dyDescent="0.35">
      <c r="A67" s="39"/>
      <c r="B67" s="39"/>
      <c r="C67" s="39"/>
      <c r="D67" s="6"/>
      <c r="E67" s="17"/>
      <c r="F67" s="18"/>
      <c r="G67" s="18"/>
      <c r="H67" s="6"/>
      <c r="I67" s="18"/>
      <c r="J67" s="18"/>
      <c r="K67" s="18"/>
      <c r="L67" s="6"/>
      <c r="M67" s="6"/>
      <c r="N67" s="6"/>
      <c r="O67" s="6"/>
    </row>
    <row r="68" spans="1:15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18"/>
      <c r="L68" s="6"/>
      <c r="M68" s="6"/>
      <c r="N68" s="6"/>
      <c r="O68" s="6"/>
    </row>
    <row r="69" spans="1:15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18"/>
      <c r="L69" s="6"/>
      <c r="M69" s="6"/>
      <c r="N69" s="6"/>
      <c r="O69" s="6"/>
    </row>
    <row r="70" spans="1:1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18"/>
      <c r="L70" s="6"/>
      <c r="M70" s="6"/>
      <c r="N70" s="6"/>
      <c r="O70" s="6"/>
    </row>
    <row r="71" spans="1:15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18"/>
      <c r="L71" s="6"/>
      <c r="M71" s="6"/>
      <c r="N71" s="6"/>
      <c r="O71" s="6"/>
    </row>
    <row r="72" spans="1:15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18"/>
      <c r="L72" s="6"/>
      <c r="M72" s="6"/>
      <c r="N72" s="6"/>
      <c r="O72" s="6"/>
    </row>
    <row r="73" spans="1:15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18"/>
      <c r="L73" s="6"/>
      <c r="M73" s="6"/>
      <c r="N73" s="6"/>
      <c r="O73" s="6"/>
    </row>
    <row r="74" spans="1:15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5" x14ac:dyDescent="0.2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5" x14ac:dyDescent="0.2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5" x14ac:dyDescent="0.25">
      <c r="E78" s="1"/>
    </row>
    <row r="79" spans="1:15" x14ac:dyDescent="0.25">
      <c r="E79" s="1"/>
    </row>
    <row r="80" spans="1:1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</sheetData>
  <sheetProtection algorithmName="SHA-512" hashValue="4KYGtLgELlJyzBXMLNiyDTR+l0V1C41LGVrABBiDJ2CpklwGYtWbIe4BPaeUbA3E2kVD5jtKUUrjYi938m1f4g==" saltValue="9EWiPMxtzMG8gJvW2PCsOg==" spinCount="100000" sheet="1" selectLockedCells="1"/>
  <protectedRanges>
    <protectedRange sqref="E63" name="Detalles Constructivos"/>
    <protectedRange sqref="E61" name="Brochure Flowfresh"/>
    <protectedRange sqref="E59" name="Resistencia Quimica"/>
    <protectedRange sqref="B59:C63" name="Hojas Tecnica"/>
    <protectedRange sqref="D44" name="Seleccion Color Sello"/>
    <protectedRange sqref="D43" name="Seleccion Sello"/>
    <protectedRange sqref="J43" name="Area Sello"/>
    <protectedRange sqref="D39" name="Seleccion Tipo Antideslizante"/>
    <protectedRange sqref="J39" name="Area Antideslizante"/>
    <protectedRange sqref="D35" name="Seleccion Color Mortero"/>
    <protectedRange sqref="J33" name="Area Mortero"/>
    <protectedRange sqref="J29" name="Valor Area Primer"/>
    <protectedRange sqref="D29" name="Seleccion Primer"/>
    <protectedRange sqref="D22" name="Seleccion Espesor"/>
    <protectedRange sqref="D21" name="Seleccion Sistema"/>
  </protectedRanges>
  <mergeCells count="27">
    <mergeCell ref="D22:E22"/>
    <mergeCell ref="D21:E21"/>
    <mergeCell ref="B54:M55"/>
    <mergeCell ref="B56:M56"/>
    <mergeCell ref="G43:G44"/>
    <mergeCell ref="H43:H44"/>
    <mergeCell ref="I43:I44"/>
    <mergeCell ref="C33:C34"/>
    <mergeCell ref="J43:J44"/>
    <mergeCell ref="L33:L34"/>
    <mergeCell ref="K33:K34"/>
    <mergeCell ref="D38:L38"/>
    <mergeCell ref="C40:L41"/>
    <mergeCell ref="J33:J35"/>
    <mergeCell ref="G33:G35"/>
    <mergeCell ref="H33:H35"/>
    <mergeCell ref="I33:I35"/>
    <mergeCell ref="D42:L42"/>
    <mergeCell ref="C25:L25"/>
    <mergeCell ref="D28:L28"/>
    <mergeCell ref="C31:L31"/>
    <mergeCell ref="D32:L32"/>
    <mergeCell ref="C36:L37"/>
    <mergeCell ref="E27:F27"/>
    <mergeCell ref="G27:I27"/>
    <mergeCell ref="K27:L27"/>
    <mergeCell ref="J29:J30"/>
  </mergeCells>
  <hyperlinks>
    <hyperlink ref="B59" r:id="rId1" xr:uid="{00000000-0004-0000-0500-000000000000}"/>
    <hyperlink ref="E59" r:id="rId2" xr:uid="{00000000-0004-0000-0500-000001000000}"/>
    <hyperlink ref="E61" r:id="rId3" xr:uid="{00000000-0004-0000-0500-000002000000}"/>
    <hyperlink ref="E63" r:id="rId4" xr:uid="{00000000-0004-0000-0500-000003000000}"/>
  </hyperlinks>
  <printOptions horizontalCentered="1"/>
  <pageMargins left="0.55118110236220474" right="0.55118110236220474" top="0.74803149606299213" bottom="0.74803149606299213" header="0.11811023622047245" footer="0.11811023622047245"/>
  <pageSetup scale="38" orientation="portrait" r:id="rId5"/>
  <rowBreaks count="1" manualBreakCount="1">
    <brk id="70" min="1" max="12" man="1"/>
  </rowBreaks>
  <drawing r:id="rId6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500-000000000000}">
          <x14:formula1>
            <xm:f>DATA!$C$14:$C$15</xm:f>
          </x14:formula1>
          <xm:sqref>D29</xm:sqref>
        </x14:dataValidation>
        <x14:dataValidation type="list" allowBlank="1" showInputMessage="1" showErrorMessage="1" xr:uid="{00000000-0002-0000-0500-000001000000}">
          <x14:formula1>
            <xm:f>DATA!$C$4:$C$10</xm:f>
          </x14:formula1>
          <xm:sqref>D44 D35</xm:sqref>
        </x14:dataValidation>
        <x14:dataValidation type="list" allowBlank="1" showInputMessage="1" showErrorMessage="1" xr:uid="{00000000-0002-0000-0500-000002000000}">
          <x14:formula1>
            <xm:f>DATA!$C$25:$C$39</xm:f>
          </x14:formula1>
          <xm:sqref>D39</xm:sqref>
        </x14:dataValidation>
        <x14:dataValidation type="list" allowBlank="1" showInputMessage="1" showErrorMessage="1" xr:uid="{00000000-0002-0000-0500-000003000000}">
          <x14:formula1>
            <xm:f>DATA!$C$64:$C$68</xm:f>
          </x14:formula1>
          <xm:sqref>D21:E21</xm:sqref>
        </x14:dataValidation>
        <x14:dataValidation type="list" allowBlank="1" showInputMessage="1" showErrorMessage="1" xr:uid="{00000000-0002-0000-0500-000004000000}">
          <x14:formula1>
            <xm:f>DATA!$V$64:$V$68</xm:f>
          </x14:formula1>
          <xm:sqref>D22:E22</xm:sqref>
        </x14:dataValidation>
        <x14:dataValidation type="list" allowBlank="1" showInputMessage="1" showErrorMessage="1" xr:uid="{00000000-0002-0000-0500-000005000000}">
          <x14:formula1>
            <xm:f>DATA!$C$43:$C$48</xm:f>
          </x14:formula1>
          <xm:sqref>D43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87"/>
  <sheetViews>
    <sheetView showGridLines="0" showRowColHeaders="0" view="pageBreakPreview" topLeftCell="A33" zoomScale="70" zoomScaleNormal="50" zoomScaleSheetLayoutView="70" zoomScalePageLayoutView="80" workbookViewId="0">
      <selection activeCell="D45" sqref="D45"/>
    </sheetView>
  </sheetViews>
  <sheetFormatPr baseColWidth="10" defaultColWidth="11.453125" defaultRowHeight="13.5" x14ac:dyDescent="0.25"/>
  <cols>
    <col min="1" max="1" width="4.7265625" style="1" customWidth="1"/>
    <col min="2" max="2" width="23.08984375" style="1" customWidth="1"/>
    <col min="3" max="3" width="23.7265625" style="1" customWidth="1"/>
    <col min="4" max="4" width="45.90625" style="1" customWidth="1"/>
    <col min="5" max="5" width="13.1796875" style="16" customWidth="1"/>
    <col min="6" max="6" width="21.1796875" style="1" customWidth="1"/>
    <col min="7" max="7" width="15.26953125" style="1" customWidth="1"/>
    <col min="8" max="8" width="9.36328125" style="1" customWidth="1"/>
    <col min="9" max="9" width="7.36328125" style="1" customWidth="1"/>
    <col min="10" max="10" width="12.54296875" style="1" customWidth="1"/>
    <col min="11" max="11" width="18.81640625" style="49" customWidth="1"/>
    <col min="12" max="12" width="20.1796875" style="1" customWidth="1"/>
    <col min="13" max="13" width="18.7265625" style="1" customWidth="1"/>
    <col min="14" max="16384" width="11.453125" style="1"/>
  </cols>
  <sheetData>
    <row r="1" spans="2:13" ht="112" customHeight="1" x14ac:dyDescent="0.25">
      <c r="B1" s="128"/>
      <c r="C1" s="129"/>
      <c r="D1" s="129"/>
      <c r="E1" s="130"/>
      <c r="F1" s="129"/>
      <c r="G1" s="129"/>
      <c r="H1" s="129"/>
      <c r="I1" s="129"/>
      <c r="J1" s="129"/>
      <c r="K1" s="90"/>
      <c r="L1" s="129"/>
      <c r="M1" s="131"/>
    </row>
    <row r="2" spans="2:13" ht="120" customHeight="1" x14ac:dyDescent="0.25">
      <c r="B2" s="314"/>
      <c r="C2" s="132"/>
      <c r="D2" s="132"/>
      <c r="E2" s="15" t="s">
        <v>7</v>
      </c>
      <c r="F2" s="5"/>
      <c r="G2" s="5"/>
      <c r="H2" s="5"/>
      <c r="I2" s="5"/>
      <c r="J2" s="5"/>
      <c r="K2" s="5"/>
      <c r="L2" s="5"/>
      <c r="M2" s="29"/>
    </row>
    <row r="3" spans="2:13" ht="14.15" customHeight="1" x14ac:dyDescent="0.25">
      <c r="B3" s="23"/>
      <c r="C3" s="4"/>
      <c r="D3" s="4"/>
      <c r="E3" s="15"/>
      <c r="F3" s="5"/>
      <c r="G3" s="5"/>
      <c r="H3" s="5"/>
      <c r="I3" s="5"/>
      <c r="J3" s="5"/>
      <c r="K3" s="5"/>
      <c r="L3" s="5"/>
      <c r="M3" s="29"/>
    </row>
    <row r="4" spans="2:13" ht="11.5" customHeight="1" x14ac:dyDescent="0.25">
      <c r="B4" s="23"/>
      <c r="C4" s="4"/>
      <c r="D4" s="4"/>
      <c r="E4" s="15"/>
      <c r="F4" s="5"/>
      <c r="G4" s="5"/>
      <c r="H4" s="5"/>
      <c r="I4" s="5"/>
      <c r="J4" s="5"/>
      <c r="K4" s="5"/>
      <c r="L4" s="5"/>
      <c r="M4" s="80"/>
    </row>
    <row r="5" spans="2:13" ht="17.5" x14ac:dyDescent="0.25">
      <c r="B5" s="23"/>
      <c r="C5" s="4"/>
      <c r="D5" s="4"/>
      <c r="E5" s="4"/>
      <c r="F5" s="4"/>
      <c r="G5" s="4"/>
      <c r="H5" s="4"/>
      <c r="I5" s="4"/>
      <c r="J5" s="4"/>
      <c r="K5" s="4"/>
      <c r="L5" s="4"/>
      <c r="M5" s="80"/>
    </row>
    <row r="6" spans="2:13" ht="17.5" x14ac:dyDescent="0.25">
      <c r="B6" s="23"/>
      <c r="C6" s="4"/>
      <c r="D6" s="4"/>
      <c r="E6" s="4"/>
      <c r="F6" s="4"/>
      <c r="G6" s="4"/>
      <c r="H6" s="4"/>
      <c r="I6" s="4"/>
      <c r="J6" s="4"/>
      <c r="K6" s="4"/>
      <c r="L6" s="4"/>
      <c r="M6" s="80"/>
    </row>
    <row r="7" spans="2:13" ht="17.5" x14ac:dyDescent="0.25">
      <c r="B7" s="23"/>
      <c r="C7" s="4"/>
      <c r="D7" s="4"/>
      <c r="E7" s="4"/>
      <c r="F7" s="4"/>
      <c r="G7" s="4"/>
      <c r="H7" s="4"/>
      <c r="I7" s="4"/>
      <c r="J7" s="4"/>
      <c r="K7" s="4"/>
      <c r="L7" s="4"/>
      <c r="M7" s="80"/>
    </row>
    <row r="8" spans="2:13" ht="17.5" x14ac:dyDescent="0.25">
      <c r="B8" s="23"/>
      <c r="C8" s="4"/>
      <c r="D8" s="4"/>
      <c r="E8" s="4"/>
      <c r="F8" s="4"/>
      <c r="G8" s="4"/>
      <c r="H8" s="4"/>
      <c r="I8" s="4"/>
      <c r="J8" s="4"/>
      <c r="K8" s="4"/>
      <c r="L8" s="4"/>
      <c r="M8" s="80"/>
    </row>
    <row r="9" spans="2:13" ht="17.5" x14ac:dyDescent="0.25">
      <c r="B9" s="23"/>
      <c r="C9" s="4"/>
      <c r="D9" s="4"/>
      <c r="E9" s="4"/>
      <c r="F9" s="4"/>
      <c r="G9" s="4"/>
      <c r="H9" s="4"/>
      <c r="I9" s="4"/>
      <c r="J9" s="4"/>
      <c r="K9" s="4"/>
      <c r="L9" s="4"/>
      <c r="M9" s="80"/>
    </row>
    <row r="10" spans="2:13" ht="17.5" x14ac:dyDescent="0.25">
      <c r="B10" s="23"/>
      <c r="C10" s="4"/>
      <c r="D10" s="4"/>
      <c r="E10" s="4"/>
      <c r="F10" s="4"/>
      <c r="G10" s="4"/>
      <c r="H10" s="4"/>
      <c r="I10" s="4"/>
      <c r="J10" s="4"/>
      <c r="K10" s="4"/>
      <c r="L10" s="4"/>
      <c r="M10" s="80"/>
    </row>
    <row r="11" spans="2:13" ht="17.5" x14ac:dyDescent="0.25">
      <c r="B11" s="23"/>
      <c r="C11" s="4"/>
      <c r="D11" s="4"/>
      <c r="E11" s="4"/>
      <c r="F11" s="4"/>
      <c r="G11" s="4"/>
      <c r="H11" s="4"/>
      <c r="I11" s="4"/>
      <c r="J11" s="4"/>
      <c r="K11" s="4"/>
      <c r="L11" s="4"/>
      <c r="M11" s="80"/>
    </row>
    <row r="12" spans="2:13" ht="17.5" x14ac:dyDescent="0.25">
      <c r="B12" s="23"/>
      <c r="C12" s="4"/>
      <c r="D12" s="4"/>
      <c r="E12" s="4"/>
      <c r="F12" s="4"/>
      <c r="G12" s="4"/>
      <c r="H12" s="4"/>
      <c r="I12" s="4"/>
      <c r="J12" s="4"/>
      <c r="K12" s="4"/>
      <c r="L12" s="4"/>
      <c r="M12" s="80"/>
    </row>
    <row r="13" spans="2:13" ht="17.5" x14ac:dyDescent="0.25">
      <c r="B13" s="23"/>
      <c r="C13" s="4"/>
      <c r="D13" s="4"/>
      <c r="E13" s="4"/>
      <c r="F13" s="4"/>
      <c r="G13" s="4"/>
      <c r="H13" s="4"/>
      <c r="I13" s="4"/>
      <c r="J13" s="4"/>
      <c r="K13" s="4"/>
      <c r="L13" s="4"/>
      <c r="M13" s="80"/>
    </row>
    <row r="14" spans="2:13" ht="17.5" x14ac:dyDescent="0.25">
      <c r="B14" s="23"/>
      <c r="C14" s="4"/>
      <c r="D14" s="4"/>
      <c r="E14" s="4"/>
      <c r="F14" s="4"/>
      <c r="G14" s="4"/>
      <c r="H14" s="4"/>
      <c r="I14" s="4"/>
      <c r="J14" s="4"/>
      <c r="K14" s="4"/>
      <c r="L14" s="4"/>
      <c r="M14" s="80"/>
    </row>
    <row r="15" spans="2:13" ht="17.5" x14ac:dyDescent="0.25">
      <c r="B15" s="23"/>
      <c r="C15" s="4"/>
      <c r="D15" s="4"/>
      <c r="E15" s="4"/>
      <c r="F15" s="4"/>
      <c r="G15" s="4"/>
      <c r="H15" s="4"/>
      <c r="I15" s="4"/>
      <c r="J15" s="4"/>
      <c r="K15" s="4"/>
      <c r="L15" s="4"/>
      <c r="M15" s="80"/>
    </row>
    <row r="16" spans="2:13" ht="17.5" x14ac:dyDescent="0.25">
      <c r="B16" s="23"/>
      <c r="C16" s="4"/>
      <c r="D16" s="4"/>
      <c r="E16" s="4"/>
      <c r="F16" s="4"/>
      <c r="G16" s="4"/>
      <c r="H16" s="4"/>
      <c r="I16" s="4"/>
      <c r="J16" s="4"/>
      <c r="K16" s="4"/>
      <c r="L16" s="4"/>
      <c r="M16" s="80"/>
    </row>
    <row r="17" spans="2:13" ht="17.5" x14ac:dyDescent="0.25">
      <c r="B17" s="23"/>
      <c r="C17" s="4"/>
      <c r="D17" s="4"/>
      <c r="E17" s="4"/>
      <c r="F17" s="4"/>
      <c r="G17" s="4"/>
      <c r="H17" s="4"/>
      <c r="I17" s="4"/>
      <c r="J17" s="4"/>
      <c r="K17" s="4"/>
      <c r="L17" s="4"/>
      <c r="M17" s="80"/>
    </row>
    <row r="18" spans="2:13" ht="17.5" x14ac:dyDescent="0.25">
      <c r="B18" s="23"/>
      <c r="C18" s="4"/>
      <c r="D18" s="4"/>
      <c r="E18" s="4"/>
      <c r="F18" s="4"/>
      <c r="G18" s="4"/>
      <c r="H18" s="4"/>
      <c r="I18" s="4"/>
      <c r="J18" s="4"/>
      <c r="K18" s="4"/>
      <c r="L18" s="4"/>
      <c r="M18" s="80"/>
    </row>
    <row r="19" spans="2:13" ht="17.5" x14ac:dyDescent="0.25">
      <c r="B19" s="23"/>
      <c r="C19" s="4"/>
      <c r="D19" s="4"/>
      <c r="E19" s="4"/>
      <c r="F19" s="4"/>
      <c r="G19" s="4"/>
      <c r="H19" s="4"/>
      <c r="I19" s="4"/>
      <c r="J19" s="4"/>
      <c r="K19" s="4"/>
      <c r="L19" s="4"/>
      <c r="M19" s="80"/>
    </row>
    <row r="20" spans="2:13" ht="17.5" x14ac:dyDescent="0.25">
      <c r="B20" s="23"/>
      <c r="C20" s="4"/>
      <c r="D20" s="4"/>
      <c r="E20" s="4"/>
      <c r="F20" s="4"/>
      <c r="G20" s="4"/>
      <c r="H20" s="4"/>
      <c r="I20" s="4"/>
      <c r="J20" s="4"/>
      <c r="K20" s="4"/>
      <c r="L20" s="4"/>
      <c r="M20" s="80"/>
    </row>
    <row r="21" spans="2:13" ht="17.5" x14ac:dyDescent="0.25">
      <c r="B21" s="23"/>
      <c r="C21" s="4"/>
      <c r="D21" s="4"/>
      <c r="E21" s="4"/>
      <c r="F21" s="4"/>
      <c r="G21" s="4"/>
      <c r="H21" s="4"/>
      <c r="I21" s="4"/>
      <c r="J21" s="4"/>
      <c r="K21" s="4"/>
      <c r="L21" s="4"/>
      <c r="M21" s="80"/>
    </row>
    <row r="22" spans="2:13" ht="18" thickBot="1" x14ac:dyDescent="0.3">
      <c r="B22" s="23"/>
      <c r="C22" s="4"/>
      <c r="D22" s="4"/>
      <c r="E22" s="4"/>
      <c r="F22" s="4"/>
      <c r="G22" s="4"/>
      <c r="H22" s="4"/>
      <c r="I22" s="4"/>
      <c r="J22" s="4"/>
      <c r="K22" s="4"/>
      <c r="L22" s="4"/>
      <c r="M22" s="80"/>
    </row>
    <row r="23" spans="2:13" ht="25" customHeight="1" x14ac:dyDescent="0.25">
      <c r="B23" s="23"/>
      <c r="C23" s="81" t="s">
        <v>305</v>
      </c>
      <c r="D23" s="542" t="s">
        <v>60</v>
      </c>
      <c r="E23" s="543"/>
      <c r="F23" s="4"/>
      <c r="G23" s="4"/>
      <c r="H23" s="4"/>
      <c r="I23" s="4"/>
      <c r="J23" s="4"/>
      <c r="K23" s="4"/>
      <c r="L23" s="4"/>
      <c r="M23" s="80"/>
    </row>
    <row r="24" spans="2:13" ht="26.5" customHeight="1" thickBot="1" x14ac:dyDescent="0.3">
      <c r="B24" s="23"/>
      <c r="C24" s="245" t="s">
        <v>241</v>
      </c>
      <c r="D24" s="540" t="s">
        <v>110</v>
      </c>
      <c r="E24" s="541"/>
      <c r="F24" s="4"/>
      <c r="G24" s="4"/>
      <c r="H24" s="4"/>
      <c r="I24" s="4"/>
      <c r="J24" s="4"/>
      <c r="K24" s="4"/>
      <c r="L24" s="4"/>
      <c r="M24" s="80"/>
    </row>
    <row r="25" spans="2:13" ht="26.5" customHeight="1" x14ac:dyDescent="0.25">
      <c r="B25" s="23"/>
      <c r="C25" s="4"/>
      <c r="D25" s="4"/>
      <c r="E25" s="4"/>
      <c r="F25" s="4"/>
      <c r="G25" s="4"/>
      <c r="H25" s="4"/>
      <c r="I25" s="4"/>
      <c r="J25" s="4"/>
      <c r="K25" s="4"/>
      <c r="L25" s="4"/>
      <c r="M25" s="80"/>
    </row>
    <row r="26" spans="2:13" ht="18" thickBot="1" x14ac:dyDescent="0.3">
      <c r="B26" s="23"/>
      <c r="C26" s="19"/>
      <c r="D26" s="4"/>
      <c r="E26" s="4"/>
      <c r="F26" s="4"/>
      <c r="G26" s="4"/>
      <c r="H26" s="4"/>
      <c r="I26" s="4"/>
      <c r="J26" s="4"/>
      <c r="K26" s="4"/>
      <c r="L26" s="4"/>
      <c r="M26" s="80"/>
    </row>
    <row r="27" spans="2:13" ht="25" customHeight="1" thickBot="1" x14ac:dyDescent="0.3">
      <c r="B27" s="24"/>
      <c r="C27" s="505" t="s">
        <v>10</v>
      </c>
      <c r="D27" s="506"/>
      <c r="E27" s="506"/>
      <c r="F27" s="506"/>
      <c r="G27" s="506"/>
      <c r="H27" s="506"/>
      <c r="I27" s="506"/>
      <c r="J27" s="506"/>
      <c r="K27" s="506"/>
      <c r="L27" s="507"/>
      <c r="M27" s="80"/>
    </row>
    <row r="28" spans="2:13" ht="8.5" customHeight="1" thickBot="1" x14ac:dyDescent="0.3">
      <c r="B28" s="24"/>
      <c r="C28" s="24"/>
      <c r="D28" s="19"/>
      <c r="E28" s="19"/>
      <c r="F28" s="20"/>
      <c r="G28" s="19"/>
      <c r="H28" s="19"/>
      <c r="I28" s="19"/>
      <c r="J28" s="19"/>
      <c r="K28" s="19"/>
      <c r="L28" s="21"/>
      <c r="M28" s="26"/>
    </row>
    <row r="29" spans="2:13" ht="56.5" customHeight="1" thickBot="1" x14ac:dyDescent="0.3">
      <c r="B29" s="24"/>
      <c r="C29" s="76" t="s">
        <v>11</v>
      </c>
      <c r="D29" s="370" t="s">
        <v>0</v>
      </c>
      <c r="E29" s="536" t="s">
        <v>3</v>
      </c>
      <c r="F29" s="536"/>
      <c r="G29" s="536" t="s">
        <v>1</v>
      </c>
      <c r="H29" s="536"/>
      <c r="I29" s="536"/>
      <c r="J29" s="370" t="s">
        <v>8</v>
      </c>
      <c r="K29" s="536" t="s">
        <v>188</v>
      </c>
      <c r="L29" s="537"/>
      <c r="M29" s="26"/>
    </row>
    <row r="30" spans="2:13" ht="19.5" customHeight="1" x14ac:dyDescent="0.25">
      <c r="B30" s="24"/>
      <c r="C30" s="77"/>
      <c r="D30" s="508" t="s">
        <v>191</v>
      </c>
      <c r="E30" s="509"/>
      <c r="F30" s="509"/>
      <c r="G30" s="509"/>
      <c r="H30" s="509"/>
      <c r="I30" s="509"/>
      <c r="J30" s="509"/>
      <c r="K30" s="509"/>
      <c r="L30" s="510"/>
      <c r="M30" s="26"/>
    </row>
    <row r="31" spans="2:13" ht="20.5" customHeight="1" x14ac:dyDescent="0.25">
      <c r="B31" s="24"/>
      <c r="C31" s="65">
        <f>VLOOKUP(D31,DATA!C14:H15,2,0)</f>
        <v>4121</v>
      </c>
      <c r="D31" s="31" t="s">
        <v>13</v>
      </c>
      <c r="E31" s="377">
        <v>1</v>
      </c>
      <c r="F31" s="377" t="str">
        <f>VLOOKUP(D31,DATA!C14:G15,4,0)</f>
        <v>Unidad x 3 Gal</v>
      </c>
      <c r="G31" s="377" t="s">
        <v>21</v>
      </c>
      <c r="H31" s="14">
        <f>VLOOKUP(D31,DATA!C14:G15,5,0)</f>
        <v>55.7</v>
      </c>
      <c r="I31" s="379" t="s">
        <v>9</v>
      </c>
      <c r="J31" s="570">
        <v>100</v>
      </c>
      <c r="K31" s="146">
        <f>ROUNDUP(((J31/H31)*1.05),0)</f>
        <v>2</v>
      </c>
      <c r="L31" s="407" t="str">
        <f>VLOOKUP(D31,DATA!C14:G15,4,0)</f>
        <v>Unidad x 3 Gal</v>
      </c>
      <c r="M31" s="26"/>
    </row>
    <row r="32" spans="2:13" ht="15" customHeight="1" thickBot="1" x14ac:dyDescent="0.3">
      <c r="B32" s="24"/>
      <c r="C32" s="66">
        <v>2014</v>
      </c>
      <c r="D32" s="67" t="s">
        <v>22</v>
      </c>
      <c r="E32" s="378">
        <f>VLOOKUP(D31,DATA!C14:H15,6,0)</f>
        <v>1</v>
      </c>
      <c r="F32" s="378" t="s">
        <v>23</v>
      </c>
      <c r="G32" s="378" t="s">
        <v>24</v>
      </c>
      <c r="H32" s="68">
        <v>200</v>
      </c>
      <c r="I32" s="380" t="s">
        <v>9</v>
      </c>
      <c r="J32" s="570"/>
      <c r="K32" s="147">
        <f>ROUNDUP((((J31/H32)*1.05)*E32),0)</f>
        <v>1</v>
      </c>
      <c r="L32" s="408" t="s">
        <v>17</v>
      </c>
      <c r="M32" s="26"/>
    </row>
    <row r="33" spans="2:13" ht="20.5" customHeight="1" x14ac:dyDescent="0.25">
      <c r="B33" s="24"/>
      <c r="C33" s="511" t="s">
        <v>242</v>
      </c>
      <c r="D33" s="512"/>
      <c r="E33" s="512"/>
      <c r="F33" s="512"/>
      <c r="G33" s="512"/>
      <c r="H33" s="512"/>
      <c r="I33" s="552"/>
      <c r="J33" s="570"/>
      <c r="K33" s="32"/>
      <c r="L33" s="83"/>
      <c r="M33" s="26"/>
    </row>
    <row r="34" spans="2:13" ht="14.5" customHeight="1" thickBot="1" x14ac:dyDescent="0.35">
      <c r="B34" s="24"/>
      <c r="C34" s="515"/>
      <c r="D34" s="516"/>
      <c r="E34" s="516"/>
      <c r="F34" s="516"/>
      <c r="G34" s="516"/>
      <c r="H34" s="516"/>
      <c r="I34" s="553"/>
      <c r="J34" s="570"/>
      <c r="K34" s="32"/>
      <c r="L34" s="82"/>
      <c r="M34" s="26"/>
    </row>
    <row r="35" spans="2:13" ht="21" customHeight="1" x14ac:dyDescent="0.25">
      <c r="B35" s="24"/>
      <c r="C35" s="78"/>
      <c r="D35" s="560" t="str">
        <f>VLOOKUP(D$23,DATA!C81:R82,13,0)</f>
        <v>Flowfresh SL - Kit X 27,67 / 61 Lb</v>
      </c>
      <c r="E35" s="561"/>
      <c r="F35" s="561"/>
      <c r="G35" s="561"/>
      <c r="H35" s="561"/>
      <c r="I35" s="561"/>
      <c r="J35" s="570"/>
      <c r="K35" s="144"/>
      <c r="L35" s="145"/>
      <c r="M35" s="26"/>
    </row>
    <row r="36" spans="2:13" ht="22" customHeight="1" x14ac:dyDescent="0.25">
      <c r="B36" s="24"/>
      <c r="C36" s="562">
        <f>VLOOKUP($D$23,DATA!C81:M82,7,0)</f>
        <v>7937</v>
      </c>
      <c r="D36" s="237" t="s">
        <v>313</v>
      </c>
      <c r="E36" s="377">
        <v>2</v>
      </c>
      <c r="F36" s="377" t="s">
        <v>81</v>
      </c>
      <c r="G36" s="564" t="s">
        <v>2</v>
      </c>
      <c r="H36" s="566">
        <f>DATA!V81</f>
        <v>8.6999999999999993</v>
      </c>
      <c r="I36" s="568" t="s">
        <v>9</v>
      </c>
      <c r="J36" s="570"/>
      <c r="K36" s="573">
        <f>ROUNDUP(((J31/$H$36)*E36)*1.05,0)/2</f>
        <v>12.5</v>
      </c>
      <c r="L36" s="571" t="s">
        <v>312</v>
      </c>
      <c r="M36" s="26"/>
    </row>
    <row r="37" spans="2:13" ht="19.5" customHeight="1" x14ac:dyDescent="0.25">
      <c r="B37" s="24"/>
      <c r="C37" s="563"/>
      <c r="D37" s="19" t="str">
        <f>VLOOKUP($D$23,DATA!C81:R82,8,0)</f>
        <v>Flowfresh SL Filler</v>
      </c>
      <c r="E37" s="377">
        <v>2</v>
      </c>
      <c r="F37" s="8" t="str">
        <f>VLOOKUP($D$23,DATA!C81:R82,9,0)</f>
        <v>Unidad x 40 Lb</v>
      </c>
      <c r="G37" s="564"/>
      <c r="H37" s="566"/>
      <c r="I37" s="568"/>
      <c r="J37" s="570"/>
      <c r="K37" s="574"/>
      <c r="L37" s="572"/>
      <c r="M37" s="26"/>
    </row>
    <row r="38" spans="2:13" ht="21.5" customHeight="1" thickBot="1" x14ac:dyDescent="0.3">
      <c r="B38" s="24"/>
      <c r="C38" s="66">
        <f>VLOOKUP(D38,DATA!C4:G10,2,0)</f>
        <v>5833</v>
      </c>
      <c r="D38" s="69" t="s">
        <v>192</v>
      </c>
      <c r="E38" s="378">
        <v>2</v>
      </c>
      <c r="F38" s="378" t="s">
        <v>244</v>
      </c>
      <c r="G38" s="565"/>
      <c r="H38" s="567"/>
      <c r="I38" s="569"/>
      <c r="J38" s="570"/>
      <c r="K38" s="148">
        <f>K36*2</f>
        <v>25</v>
      </c>
      <c r="L38" s="399" t="s">
        <v>245</v>
      </c>
      <c r="M38" s="26"/>
    </row>
    <row r="39" spans="2:13" ht="32.5" customHeight="1" thickBot="1" x14ac:dyDescent="0.3">
      <c r="B39" s="24"/>
      <c r="C39" s="515" t="str">
        <f>VLOOKUP(D23,DATA!C81:N82,12,0)</f>
        <v>Si desea un acabado rugoso para este sistema, debe diligenciar las casillas de "Acabado Antideslizante" de la siguiente seccion y proteger el riego seleccionado con un sello del acabado deseado.</v>
      </c>
      <c r="D39" s="516"/>
      <c r="E39" s="516"/>
      <c r="F39" s="516"/>
      <c r="G39" s="516"/>
      <c r="H39" s="516"/>
      <c r="I39" s="516"/>
      <c r="J39" s="516"/>
      <c r="K39" s="516"/>
      <c r="L39" s="517"/>
      <c r="M39" s="26"/>
    </row>
    <row r="40" spans="2:13" ht="18.5" customHeight="1" x14ac:dyDescent="0.25">
      <c r="B40" s="24"/>
      <c r="C40" s="77"/>
      <c r="D40" s="396" t="s">
        <v>90</v>
      </c>
      <c r="E40" s="394"/>
      <c r="F40" s="394"/>
      <c r="G40" s="394"/>
      <c r="H40" s="394"/>
      <c r="I40" s="394"/>
      <c r="J40" s="394"/>
      <c r="K40" s="394"/>
      <c r="L40" s="395"/>
      <c r="M40" s="26"/>
    </row>
    <row r="41" spans="2:13" ht="20" customHeight="1" thickBot="1" x14ac:dyDescent="0.3">
      <c r="B41" s="24"/>
      <c r="C41" s="70">
        <f>VLOOKUP(D41,DATA!C25:G39,2,0)</f>
        <v>2014</v>
      </c>
      <c r="D41" s="69" t="s">
        <v>16</v>
      </c>
      <c r="E41" s="378">
        <v>1</v>
      </c>
      <c r="F41" s="378" t="str">
        <f>VLOOKUP(D41,DATA!C25:G39,4,0)</f>
        <v>Bolsa x 30 Kg</v>
      </c>
      <c r="G41" s="378" t="s">
        <v>24</v>
      </c>
      <c r="H41" s="378">
        <f>VLOOKUP(D41,DATA!C25:G39,5,0)</f>
        <v>20</v>
      </c>
      <c r="I41" s="378" t="s">
        <v>9</v>
      </c>
      <c r="J41" s="71">
        <v>100</v>
      </c>
      <c r="K41" s="378">
        <f>ROUNDUP(((($J$41/$H$41))*1.05)*$E$41,0)</f>
        <v>6</v>
      </c>
      <c r="L41" s="409" t="str">
        <f>VLOOKUP(D41,DATA!C25:G39,4,0)</f>
        <v>Bolsa x 30 Kg</v>
      </c>
      <c r="M41" s="26"/>
    </row>
    <row r="42" spans="2:13" ht="14" thickBot="1" x14ac:dyDescent="0.3">
      <c r="B42" s="24"/>
      <c r="C42" s="368"/>
      <c r="D42" s="369"/>
      <c r="E42" s="369"/>
      <c r="F42" s="369"/>
      <c r="G42" s="369"/>
      <c r="H42" s="369"/>
      <c r="I42" s="369"/>
      <c r="J42" s="369"/>
      <c r="K42" s="369"/>
      <c r="L42" s="83"/>
      <c r="M42" s="83"/>
    </row>
    <row r="43" spans="2:13" ht="18.5" customHeight="1" x14ac:dyDescent="0.25">
      <c r="B43" s="24"/>
      <c r="C43" s="77"/>
      <c r="D43" s="405" t="s">
        <v>91</v>
      </c>
      <c r="E43" s="404"/>
      <c r="F43" s="404"/>
      <c r="G43" s="404"/>
      <c r="H43" s="404"/>
      <c r="I43" s="404"/>
      <c r="J43" s="404"/>
      <c r="K43" s="404"/>
      <c r="L43" s="406"/>
      <c r="M43" s="26"/>
    </row>
    <row r="44" spans="2:13" ht="35.5" customHeight="1" x14ac:dyDescent="0.25">
      <c r="B44" s="24"/>
      <c r="C44" s="84">
        <f>VLOOKUP(D44,DATA!C42:G48,2,0)</f>
        <v>7940</v>
      </c>
      <c r="D44" s="79" t="s">
        <v>43</v>
      </c>
      <c r="E44" s="376">
        <v>1</v>
      </c>
      <c r="F44" s="376" t="str">
        <f>VLOOKUP(D44,DATA!C42:G48,4,0)</f>
        <v>Kit x 32 Lb - 15,4 kg</v>
      </c>
      <c r="G44" s="554" t="s">
        <v>113</v>
      </c>
      <c r="H44" s="556">
        <f>VLOOKUP(D44,DATA!C42:G48,5,0)</f>
        <v>22.2</v>
      </c>
      <c r="I44" s="556" t="s">
        <v>9</v>
      </c>
      <c r="J44" s="558">
        <v>100</v>
      </c>
      <c r="K44" s="376">
        <f>ROUNDUP(((($J$44/$H$44))*1.05)*$E$44,0)</f>
        <v>5</v>
      </c>
      <c r="L44" s="401" t="str">
        <f>VLOOKUP(D44,DATA!C42:G48,4,0)</f>
        <v>Kit x 32 Lb - 15,4 kg</v>
      </c>
      <c r="M44" s="83"/>
    </row>
    <row r="45" spans="2:13" ht="15.5" customHeight="1" thickBot="1" x14ac:dyDescent="0.3">
      <c r="B45" s="24"/>
      <c r="C45" s="70">
        <f>VLOOKUP(D45,DATA!C4:F10,2,0)</f>
        <v>5833</v>
      </c>
      <c r="D45" s="69" t="s">
        <v>192</v>
      </c>
      <c r="E45" s="378">
        <f>VLOOKUP(D44,DATA!C43:I48,7,0)</f>
        <v>2</v>
      </c>
      <c r="F45" s="378" t="s">
        <v>244</v>
      </c>
      <c r="G45" s="555"/>
      <c r="H45" s="557"/>
      <c r="I45" s="557"/>
      <c r="J45" s="559"/>
      <c r="K45" s="378">
        <f>K44*E45</f>
        <v>10</v>
      </c>
      <c r="L45" s="399" t="s">
        <v>245</v>
      </c>
      <c r="M45" s="26"/>
    </row>
    <row r="46" spans="2:13" ht="21" customHeight="1" x14ac:dyDescent="0.25">
      <c r="B46" s="74"/>
      <c r="C46" s="43"/>
      <c r="D46" s="43"/>
      <c r="E46" s="43"/>
      <c r="F46" s="43"/>
      <c r="G46" s="43"/>
      <c r="H46" s="43"/>
      <c r="I46" s="43"/>
      <c r="J46" s="43"/>
      <c r="K46" s="43"/>
      <c r="L46" s="32"/>
      <c r="M46" s="83"/>
    </row>
    <row r="47" spans="2:13" x14ac:dyDescent="0.25">
      <c r="B47" s="74"/>
      <c r="C47" s="43"/>
      <c r="D47" s="43"/>
      <c r="E47" s="43"/>
      <c r="F47" s="43"/>
      <c r="G47" s="43"/>
      <c r="H47" s="43"/>
      <c r="I47" s="43"/>
      <c r="J47" s="43"/>
      <c r="K47" s="43"/>
      <c r="L47" s="19"/>
      <c r="M47" s="26"/>
    </row>
    <row r="48" spans="2:13" ht="18.5" customHeight="1" x14ac:dyDescent="0.25">
      <c r="B48" s="74"/>
      <c r="C48" s="43"/>
      <c r="D48" s="43"/>
      <c r="E48" s="43"/>
      <c r="F48" s="43"/>
      <c r="G48" s="43"/>
      <c r="H48" s="43"/>
      <c r="I48" s="43"/>
      <c r="J48" s="43"/>
      <c r="K48" s="43"/>
      <c r="L48" s="32"/>
      <c r="M48" s="83"/>
    </row>
    <row r="49" spans="2:13" ht="25" customHeight="1" x14ac:dyDescent="0.25">
      <c r="B49" s="74"/>
      <c r="C49" s="43"/>
      <c r="D49" s="43"/>
      <c r="E49" s="43"/>
      <c r="F49" s="43"/>
      <c r="G49" s="43"/>
      <c r="H49" s="43"/>
      <c r="I49" s="43"/>
      <c r="J49" s="43"/>
      <c r="K49" s="43"/>
      <c r="L49" s="19"/>
      <c r="M49" s="26"/>
    </row>
    <row r="50" spans="2:13" ht="20.5" customHeight="1" thickBot="1" x14ac:dyDescent="0.3">
      <c r="B50" s="364" t="s">
        <v>317</v>
      </c>
      <c r="C50" s="19"/>
      <c r="D50" s="87"/>
      <c r="E50" s="17"/>
      <c r="F50" s="6"/>
      <c r="G50" s="43"/>
      <c r="H50" s="43"/>
      <c r="I50" s="43"/>
      <c r="J50" s="43"/>
      <c r="K50" s="43"/>
      <c r="L50" s="43"/>
      <c r="M50" s="85"/>
    </row>
    <row r="51" spans="2:13" ht="15" x14ac:dyDescent="0.3">
      <c r="B51" s="91" t="s">
        <v>25</v>
      </c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88"/>
    </row>
    <row r="52" spans="2:13" ht="13.5" customHeight="1" x14ac:dyDescent="0.25">
      <c r="B52" s="544" t="s">
        <v>29</v>
      </c>
      <c r="C52" s="545"/>
      <c r="D52" s="545"/>
      <c r="E52" s="545"/>
      <c r="F52" s="545"/>
      <c r="G52" s="545"/>
      <c r="H52" s="545"/>
      <c r="I52" s="545"/>
      <c r="J52" s="545"/>
      <c r="K52" s="545"/>
      <c r="L52" s="545"/>
      <c r="M52" s="546"/>
    </row>
    <row r="53" spans="2:13" x14ac:dyDescent="0.25">
      <c r="B53" s="544"/>
      <c r="C53" s="545"/>
      <c r="D53" s="545"/>
      <c r="E53" s="545"/>
      <c r="F53" s="545"/>
      <c r="G53" s="545"/>
      <c r="H53" s="545"/>
      <c r="I53" s="545"/>
      <c r="J53" s="545"/>
      <c r="K53" s="545"/>
      <c r="L53" s="545"/>
      <c r="M53" s="546"/>
    </row>
    <row r="54" spans="2:13" x14ac:dyDescent="0.25">
      <c r="B54" s="547" t="s">
        <v>30</v>
      </c>
      <c r="C54" s="548"/>
      <c r="D54" s="548"/>
      <c r="E54" s="548"/>
      <c r="F54" s="548"/>
      <c r="G54" s="548"/>
      <c r="H54" s="548"/>
      <c r="I54" s="548"/>
      <c r="J54" s="548"/>
      <c r="K54" s="548"/>
      <c r="L54" s="548"/>
      <c r="M54" s="549"/>
    </row>
    <row r="55" spans="2:13" x14ac:dyDescent="0.25">
      <c r="B55" s="373"/>
      <c r="C55" s="374"/>
      <c r="D55" s="374"/>
      <c r="E55" s="374"/>
      <c r="F55" s="374"/>
      <c r="G55" s="374"/>
      <c r="H55" s="374"/>
      <c r="I55" s="374"/>
      <c r="J55" s="374"/>
      <c r="K55" s="374"/>
      <c r="L55" s="374"/>
      <c r="M55" s="375"/>
    </row>
    <row r="56" spans="2:13" ht="14" x14ac:dyDescent="0.3">
      <c r="B56" s="25" t="s">
        <v>177</v>
      </c>
      <c r="C56" s="17"/>
      <c r="D56" s="17"/>
      <c r="E56" s="133" t="s">
        <v>171</v>
      </c>
      <c r="F56" s="18"/>
      <c r="G56" s="18"/>
      <c r="H56" s="18"/>
      <c r="I56" s="18"/>
      <c r="J56" s="18"/>
      <c r="K56" s="18"/>
      <c r="L56" s="18"/>
      <c r="M56" s="26"/>
    </row>
    <row r="57" spans="2:13" ht="14.5" x14ac:dyDescent="0.35">
      <c r="B57" s="27" t="s">
        <v>179</v>
      </c>
      <c r="C57" s="17"/>
      <c r="D57" s="17"/>
      <c r="E57" s="134" t="s">
        <v>173</v>
      </c>
      <c r="F57" s="18"/>
      <c r="G57" s="18"/>
      <c r="H57" s="18"/>
      <c r="I57" s="18"/>
      <c r="J57" s="18"/>
      <c r="K57" s="18"/>
      <c r="L57" s="18"/>
      <c r="M57" s="89"/>
    </row>
    <row r="58" spans="2:13" ht="14.5" x14ac:dyDescent="0.35">
      <c r="B58" s="27" t="s">
        <v>178</v>
      </c>
      <c r="C58" s="27"/>
      <c r="D58" s="39"/>
      <c r="E58" s="133" t="s">
        <v>172</v>
      </c>
      <c r="F58" s="18"/>
      <c r="G58" s="18"/>
      <c r="H58" s="6"/>
      <c r="I58" s="18"/>
      <c r="J58" s="18"/>
      <c r="K58" s="18"/>
      <c r="L58" s="6"/>
      <c r="M58" s="89"/>
    </row>
    <row r="59" spans="2:13" ht="14.5" x14ac:dyDescent="0.35">
      <c r="B59" s="28"/>
      <c r="C59" s="40"/>
      <c r="D59" s="39"/>
      <c r="E59" s="134" t="s">
        <v>174</v>
      </c>
      <c r="F59" s="18"/>
      <c r="G59" s="18"/>
      <c r="H59" s="6"/>
      <c r="I59" s="18"/>
      <c r="J59" s="18"/>
      <c r="K59" s="18"/>
      <c r="L59" s="6"/>
      <c r="M59" s="89"/>
    </row>
    <row r="60" spans="2:13" ht="14.5" x14ac:dyDescent="0.35">
      <c r="B60" s="28"/>
      <c r="C60" s="40"/>
      <c r="D60" s="39"/>
      <c r="E60" s="135" t="s">
        <v>175</v>
      </c>
      <c r="F60" s="18"/>
      <c r="G60" s="18"/>
      <c r="H60" s="6"/>
      <c r="I60" s="18"/>
      <c r="J60" s="18"/>
      <c r="K60" s="18"/>
      <c r="L60" s="6"/>
      <c r="M60" s="89"/>
    </row>
    <row r="61" spans="2:13" ht="14.5" x14ac:dyDescent="0.35">
      <c r="B61" s="28"/>
      <c r="C61" s="40"/>
      <c r="D61" s="6"/>
      <c r="E61" s="136" t="s">
        <v>176</v>
      </c>
      <c r="F61" s="18"/>
      <c r="G61" s="18"/>
      <c r="H61" s="6"/>
      <c r="I61" s="18"/>
      <c r="J61" s="18"/>
      <c r="K61" s="18"/>
      <c r="L61" s="6"/>
      <c r="M61" s="89"/>
    </row>
    <row r="62" spans="2:13" x14ac:dyDescent="0.25">
      <c r="B62" s="2"/>
      <c r="C62" s="6"/>
      <c r="D62" s="6"/>
      <c r="E62" s="17"/>
      <c r="F62" s="18"/>
      <c r="G62" s="18"/>
      <c r="H62" s="6"/>
      <c r="I62" s="18"/>
      <c r="J62" s="18"/>
      <c r="K62" s="18"/>
      <c r="L62" s="6"/>
      <c r="M62" s="89"/>
    </row>
    <row r="63" spans="2:13" x14ac:dyDescent="0.25">
      <c r="B63" s="2"/>
      <c r="C63" s="6"/>
      <c r="D63" s="6"/>
      <c r="E63" s="6"/>
      <c r="F63" s="6"/>
      <c r="G63" s="6"/>
      <c r="H63" s="6"/>
      <c r="I63" s="6"/>
      <c r="J63" s="6"/>
      <c r="K63" s="6"/>
      <c r="L63" s="6"/>
      <c r="M63" s="3"/>
    </row>
    <row r="64" spans="2:13" x14ac:dyDescent="0.25">
      <c r="B64" s="2"/>
      <c r="C64" s="6"/>
      <c r="D64" s="6"/>
      <c r="E64" s="6"/>
      <c r="F64" s="6"/>
      <c r="G64" s="6"/>
      <c r="H64" s="6"/>
      <c r="I64" s="6"/>
      <c r="J64" s="6"/>
      <c r="K64" s="6"/>
      <c r="L64" s="6"/>
      <c r="M64" s="3"/>
    </row>
    <row r="65" spans="2:13" x14ac:dyDescent="0.25">
      <c r="B65" s="2"/>
      <c r="C65" s="6"/>
      <c r="D65" s="6"/>
      <c r="E65" s="6"/>
      <c r="F65" s="6"/>
      <c r="G65" s="6"/>
      <c r="H65" s="6"/>
      <c r="I65" s="6"/>
      <c r="J65" s="6"/>
      <c r="K65" s="6"/>
      <c r="L65" s="6"/>
      <c r="M65" s="3"/>
    </row>
    <row r="66" spans="2:13" x14ac:dyDescent="0.25">
      <c r="B66" s="2"/>
      <c r="C66" s="6"/>
      <c r="D66" s="6"/>
      <c r="E66" s="6"/>
      <c r="F66" s="6"/>
      <c r="G66" s="6"/>
      <c r="H66" s="6"/>
      <c r="I66" s="6"/>
      <c r="J66" s="6"/>
      <c r="K66" s="6"/>
      <c r="L66" s="6"/>
      <c r="M66" s="3"/>
    </row>
    <row r="67" spans="2:13" x14ac:dyDescent="0.25">
      <c r="B67" s="2"/>
      <c r="C67" s="6"/>
      <c r="D67" s="6"/>
      <c r="E67" s="6"/>
      <c r="F67" s="6"/>
      <c r="G67" s="6"/>
      <c r="H67" s="6"/>
      <c r="I67" s="6"/>
      <c r="J67" s="6"/>
      <c r="K67" s="6"/>
      <c r="L67" s="6"/>
      <c r="M67" s="3"/>
    </row>
    <row r="68" spans="2:13" ht="14" thickBot="1" x14ac:dyDescent="0.3">
      <c r="B68" s="315"/>
      <c r="C68" s="316"/>
      <c r="D68" s="316"/>
      <c r="E68" s="316"/>
      <c r="F68" s="316"/>
      <c r="G68" s="316"/>
      <c r="H68" s="316"/>
      <c r="I68" s="316"/>
      <c r="J68" s="316"/>
      <c r="K68" s="316"/>
      <c r="L68" s="316"/>
      <c r="M68" s="317"/>
    </row>
    <row r="69" spans="2:13" x14ac:dyDescent="0.25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2:13" x14ac:dyDescent="0.25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2:13" x14ac:dyDescent="0.25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2:13" x14ac:dyDescent="0.2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2:13" x14ac:dyDescent="0.2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2:13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2:13" x14ac:dyDescent="0.25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2:13" x14ac:dyDescent="0.25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2:13" x14ac:dyDescent="0.25">
      <c r="E77" s="1"/>
    </row>
    <row r="78" spans="2:13" x14ac:dyDescent="0.25">
      <c r="E78" s="1"/>
    </row>
    <row r="79" spans="2:13" x14ac:dyDescent="0.25">
      <c r="E79" s="1"/>
    </row>
    <row r="80" spans="2:13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</sheetData>
  <sheetProtection algorithmName="SHA-512" hashValue="zGBkMXvW48amP279XaaKVfLaJF9Ug0QIHquf7jb8KKEVJlmBiAH3t3QsGvMBAJCfY62xkOwAYmBX0tUNQq9amw==" saltValue="+xRdj6kXOIAYkLnNr7yH4w==" spinCount="100000" sheet="1" selectLockedCells="1"/>
  <protectedRanges>
    <protectedRange sqref="E61:H61" name="Detalles Constructivos"/>
    <protectedRange sqref="E59:H59" name="Brochure"/>
    <protectedRange sqref="E57:I57" name="Resistencia Qca"/>
    <protectedRange sqref="B57:B58" name="Hojas Tecnicas"/>
    <protectedRange sqref="J44" name="Area Sello"/>
    <protectedRange sqref="J41" name="Area Acabado"/>
    <protectedRange sqref="J31" name="Area Mortero"/>
    <protectedRange sqref="D45" name="Seleccion Color Sello"/>
    <protectedRange sqref="D44" name="Seleccion Sello"/>
    <protectedRange sqref="D41" name="Seleccion acabado"/>
    <protectedRange sqref="D38" name="Seleccion pigmento Mortero"/>
    <protectedRange sqref="D31" name="Seleccion Primer"/>
    <protectedRange sqref="D24" name="Seleccion Espesor"/>
    <protectedRange sqref="D23" name="Seleccion Sistema"/>
  </protectedRanges>
  <mergeCells count="23">
    <mergeCell ref="D23:E23"/>
    <mergeCell ref="D24:E24"/>
    <mergeCell ref="C27:L27"/>
    <mergeCell ref="E29:F29"/>
    <mergeCell ref="G29:I29"/>
    <mergeCell ref="K29:L29"/>
    <mergeCell ref="D35:I35"/>
    <mergeCell ref="C36:C37"/>
    <mergeCell ref="G36:G38"/>
    <mergeCell ref="H36:H38"/>
    <mergeCell ref="I36:I38"/>
    <mergeCell ref="J31:J38"/>
    <mergeCell ref="L36:L37"/>
    <mergeCell ref="K36:K37"/>
    <mergeCell ref="D30:L30"/>
    <mergeCell ref="C33:I34"/>
    <mergeCell ref="C39:L39"/>
    <mergeCell ref="B54:M54"/>
    <mergeCell ref="B52:M53"/>
    <mergeCell ref="G44:G45"/>
    <mergeCell ref="H44:H45"/>
    <mergeCell ref="I44:I45"/>
    <mergeCell ref="J44:J45"/>
  </mergeCells>
  <hyperlinks>
    <hyperlink ref="E57" r:id="rId1" xr:uid="{00000000-0004-0000-0600-000000000000}"/>
    <hyperlink ref="E59" r:id="rId2" xr:uid="{00000000-0004-0000-0600-000001000000}"/>
    <hyperlink ref="E61" r:id="rId3" xr:uid="{00000000-0004-0000-0600-000002000000}"/>
  </hyperlinks>
  <printOptions horizontalCentered="1"/>
  <pageMargins left="0.55118110236220474" right="0.55118110236220474" top="0.74803149606299213" bottom="0.74803149606299213" header="0.11811023622047245" footer="0.11811023622047245"/>
  <pageSetup scale="41" orientation="portrait" r:id="rId4"/>
  <drawing r:id="rId5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600-000000000000}">
          <x14:formula1>
            <xm:f>DATA!$U$81:$U$85</xm:f>
          </x14:formula1>
          <xm:sqref>D24:D25</xm:sqref>
        </x14:dataValidation>
        <x14:dataValidation type="list" allowBlank="1" showInputMessage="1" showErrorMessage="1" xr:uid="{00000000-0002-0000-0600-000001000000}">
          <x14:formula1>
            <xm:f>DATA!$C$81:$C$82</xm:f>
          </x14:formula1>
          <xm:sqref>D23:E23</xm:sqref>
        </x14:dataValidation>
        <x14:dataValidation type="list" allowBlank="1" showInputMessage="1" showErrorMessage="1" xr:uid="{00000000-0002-0000-0600-000002000000}">
          <x14:formula1>
            <xm:f>DATA!$C$25:$C$39</xm:f>
          </x14:formula1>
          <xm:sqref>D41</xm:sqref>
        </x14:dataValidation>
        <x14:dataValidation type="list" allowBlank="1" showInputMessage="1" showErrorMessage="1" xr:uid="{00000000-0002-0000-0600-000003000000}">
          <x14:formula1>
            <xm:f>DATA!$C$4:$C$10</xm:f>
          </x14:formula1>
          <xm:sqref>D45 D38</xm:sqref>
        </x14:dataValidation>
        <x14:dataValidation type="list" allowBlank="1" showInputMessage="1" showErrorMessage="1" xr:uid="{00000000-0002-0000-0600-000004000000}">
          <x14:formula1>
            <xm:f>DATA!$C$14:$C$15</xm:f>
          </x14:formula1>
          <xm:sqref>D31</xm:sqref>
        </x14:dataValidation>
        <x14:dataValidation type="list" allowBlank="1" showInputMessage="1" showErrorMessage="1" xr:uid="{00000000-0002-0000-0600-000005000000}">
          <x14:formula1>
            <xm:f>DATA!$C$43:$C$48</xm:f>
          </x14:formula1>
          <xm:sqref>D44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GHR102"/>
  <sheetViews>
    <sheetView showGridLines="0" showRowColHeaders="0" view="pageBreakPreview" topLeftCell="A17" zoomScale="60" zoomScaleNormal="80" zoomScalePageLayoutView="90" workbookViewId="0">
      <selection activeCell="F32" sqref="F32"/>
    </sheetView>
  </sheetViews>
  <sheetFormatPr baseColWidth="10" defaultColWidth="14.453125" defaultRowHeight="0" customHeight="1" zeroHeight="1" x14ac:dyDescent="0.25"/>
  <cols>
    <col min="1" max="1" width="3.7265625" style="250" customWidth="1"/>
    <col min="2" max="2" width="5.6328125" style="250" customWidth="1"/>
    <col min="3" max="3" width="12.36328125" style="257" customWidth="1"/>
    <col min="4" max="4" width="20.54296875" style="250" customWidth="1"/>
    <col min="5" max="5" width="26.54296875" style="257" customWidth="1"/>
    <col min="6" max="6" width="40.81640625" style="257" customWidth="1"/>
    <col min="7" max="7" width="11.6328125" style="257" customWidth="1"/>
    <col min="8" max="8" width="13.26953125" style="250" customWidth="1"/>
    <col min="9" max="9" width="12.7265625" style="257" customWidth="1"/>
    <col min="10" max="10" width="13.26953125" style="257" customWidth="1"/>
    <col min="11" max="11" width="18.36328125" style="250" customWidth="1"/>
    <col min="12" max="12" width="12" style="257" customWidth="1"/>
    <col min="13" max="13" width="15.81640625" style="250" customWidth="1"/>
    <col min="14" max="14" width="28.6328125" style="250" customWidth="1"/>
    <col min="15" max="15" width="21" style="250" customWidth="1"/>
    <col min="16" max="16" width="8.36328125" style="250" customWidth="1"/>
    <col min="17" max="17" width="8.36328125" style="343" customWidth="1"/>
    <col min="18" max="4956" width="8.36328125" style="250" customWidth="1"/>
    <col min="4957" max="4957" width="22.54296875" style="250" customWidth="1"/>
    <col min="4958" max="4958" width="19.81640625" style="250" customWidth="1"/>
    <col min="4959" max="4959" width="8.26953125" style="250" customWidth="1"/>
    <col min="4960" max="4960" width="6.7265625" style="250" customWidth="1"/>
    <col min="4961" max="4961" width="5.26953125" style="250" customWidth="1"/>
    <col min="4962" max="4962" width="7.36328125" style="250" customWidth="1"/>
    <col min="4963" max="4963" width="4.08984375" style="250" customWidth="1"/>
    <col min="4964" max="4964" width="4.453125" style="250" customWidth="1"/>
    <col min="4965" max="4965" width="17.26953125" style="250" customWidth="1"/>
    <col min="4966" max="6097" width="14.453125" style="250" customWidth="1"/>
    <col min="6098" max="16384" width="14.453125" style="250"/>
  </cols>
  <sheetData>
    <row r="1" spans="2:15" ht="16.5" customHeight="1" x14ac:dyDescent="0.25">
      <c r="B1" s="246"/>
      <c r="C1" s="247"/>
      <c r="D1" s="248"/>
      <c r="E1" s="247"/>
      <c r="F1" s="247"/>
      <c r="G1" s="247"/>
      <c r="H1" s="248"/>
      <c r="I1" s="247"/>
      <c r="J1" s="247"/>
      <c r="K1" s="248"/>
      <c r="L1" s="247"/>
      <c r="M1" s="248"/>
      <c r="N1" s="248"/>
      <c r="O1" s="249"/>
    </row>
    <row r="2" spans="2:15" ht="16.5" customHeight="1" x14ac:dyDescent="0.25">
      <c r="B2" s="251"/>
      <c r="C2" s="335"/>
      <c r="D2" s="336"/>
      <c r="E2" s="335"/>
      <c r="F2" s="335"/>
      <c r="G2" s="335"/>
      <c r="H2" s="336"/>
      <c r="I2" s="335"/>
      <c r="J2" s="335"/>
      <c r="K2" s="336"/>
      <c r="L2" s="335"/>
      <c r="M2" s="336"/>
      <c r="N2" s="336"/>
      <c r="O2" s="254"/>
    </row>
    <row r="3" spans="2:15" ht="119" customHeight="1" x14ac:dyDescent="0.25">
      <c r="B3" s="575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254"/>
    </row>
    <row r="4" spans="2:15" ht="54.5" customHeight="1" x14ac:dyDescent="0.25">
      <c r="B4" s="255"/>
      <c r="C4" s="412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254"/>
    </row>
    <row r="5" spans="2:15" ht="15" customHeight="1" x14ac:dyDescent="0.25">
      <c r="B5" s="25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254"/>
    </row>
    <row r="6" spans="2:15" ht="15" customHeight="1" x14ac:dyDescent="0.25">
      <c r="B6" s="256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254"/>
    </row>
    <row r="7" spans="2:15" ht="15" customHeight="1" x14ac:dyDescent="0.25">
      <c r="B7" s="256"/>
      <c r="C7" s="335"/>
      <c r="D7" s="335"/>
      <c r="E7" s="335"/>
      <c r="F7" s="335"/>
      <c r="G7" s="335"/>
      <c r="H7" s="335"/>
      <c r="I7" s="335"/>
      <c r="J7" s="335"/>
      <c r="K7" s="335"/>
      <c r="L7" s="335"/>
      <c r="M7" s="335"/>
      <c r="N7" s="335"/>
      <c r="O7" s="254"/>
    </row>
    <row r="8" spans="2:15" ht="15" customHeight="1" x14ac:dyDescent="0.25">
      <c r="B8" s="255"/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254"/>
    </row>
    <row r="9" spans="2:15" ht="15" customHeight="1" x14ac:dyDescent="0.25">
      <c r="B9" s="255"/>
      <c r="C9" s="335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254"/>
    </row>
    <row r="10" spans="2:15" ht="15" customHeight="1" x14ac:dyDescent="0.25">
      <c r="B10" s="255"/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254"/>
    </row>
    <row r="11" spans="2:15" ht="15.75" customHeight="1" x14ac:dyDescent="0.25">
      <c r="B11" s="256"/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254"/>
    </row>
    <row r="12" spans="2:15" ht="15.75" customHeight="1" x14ac:dyDescent="0.25">
      <c r="B12" s="256"/>
      <c r="C12" s="335"/>
      <c r="D12" s="335"/>
      <c r="E12" s="335"/>
      <c r="F12" s="335"/>
      <c r="G12" s="335"/>
      <c r="H12" s="335"/>
      <c r="I12" s="335"/>
      <c r="J12" s="335"/>
      <c r="K12" s="335"/>
      <c r="L12" s="335"/>
      <c r="M12" s="335"/>
      <c r="N12" s="335"/>
      <c r="O12" s="254"/>
    </row>
    <row r="13" spans="2:15" ht="15.75" customHeight="1" x14ac:dyDescent="0.25">
      <c r="B13" s="256"/>
      <c r="C13" s="335"/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254"/>
    </row>
    <row r="14" spans="2:15" ht="19.5" customHeight="1" x14ac:dyDescent="0.25">
      <c r="B14" s="256"/>
      <c r="C14" s="335"/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254"/>
    </row>
    <row r="15" spans="2:15" ht="40.5" customHeight="1" thickBot="1" x14ac:dyDescent="0.35">
      <c r="B15" s="255"/>
      <c r="C15" s="412"/>
      <c r="D15" s="329"/>
      <c r="E15" s="329"/>
      <c r="F15" s="329"/>
      <c r="G15" s="335"/>
      <c r="H15" s="577"/>
      <c r="I15" s="577"/>
      <c r="J15" s="413"/>
      <c r="K15" s="414"/>
      <c r="L15" s="415"/>
      <c r="M15" s="343"/>
      <c r="N15" s="415"/>
      <c r="O15" s="254"/>
    </row>
    <row r="16" spans="2:15" ht="26" customHeight="1" x14ac:dyDescent="0.25">
      <c r="B16" s="251"/>
      <c r="C16" s="335"/>
      <c r="D16" s="336"/>
      <c r="E16" s="335"/>
      <c r="F16" s="335"/>
      <c r="G16" s="335"/>
      <c r="H16" s="608" t="s">
        <v>246</v>
      </c>
      <c r="I16" s="609"/>
      <c r="J16" s="609"/>
      <c r="K16" s="609"/>
      <c r="L16" s="609"/>
      <c r="M16" s="609"/>
      <c r="N16" s="610"/>
      <c r="O16" s="254"/>
    </row>
    <row r="17" spans="2:16 4958:4958" ht="51" customHeight="1" x14ac:dyDescent="0.25">
      <c r="B17" s="251"/>
      <c r="C17" s="335"/>
      <c r="D17" s="336"/>
      <c r="E17" s="335"/>
      <c r="F17" s="335"/>
      <c r="G17" s="335"/>
      <c r="H17" s="297" t="s">
        <v>247</v>
      </c>
      <c r="I17" s="296" t="s">
        <v>248</v>
      </c>
      <c r="J17" s="296" t="s">
        <v>249</v>
      </c>
      <c r="K17" s="296" t="s">
        <v>250</v>
      </c>
      <c r="L17" s="296" t="s">
        <v>251</v>
      </c>
      <c r="M17" s="296" t="s">
        <v>252</v>
      </c>
      <c r="N17" s="298" t="s">
        <v>253</v>
      </c>
      <c r="O17" s="254"/>
    </row>
    <row r="18" spans="2:16 4958:4958" ht="40.5" customHeight="1" thickBot="1" x14ac:dyDescent="0.3">
      <c r="B18" s="251"/>
      <c r="C18" s="335"/>
      <c r="D18" s="336"/>
      <c r="E18" s="335"/>
      <c r="F18" s="335"/>
      <c r="G18" s="335"/>
      <c r="H18" s="299">
        <v>5</v>
      </c>
      <c r="I18" s="300">
        <v>10</v>
      </c>
      <c r="J18" s="300">
        <v>10</v>
      </c>
      <c r="K18" s="300">
        <v>4</v>
      </c>
      <c r="L18" s="300">
        <v>100</v>
      </c>
      <c r="M18" s="301">
        <f>((H18/10)*(I18+J18)-(H18/10)^2+(K18^2)*(1-PI()*0.25))</f>
        <v>13.183629385640828</v>
      </c>
      <c r="N18" s="258">
        <f>(PI()/2*(((I18^2+J18^2)/2)^0.5))/100*L18</f>
        <v>15.707963267948966</v>
      </c>
      <c r="O18" s="254"/>
    </row>
    <row r="19" spans="2:16 4958:4958" ht="23" customHeight="1" thickBot="1" x14ac:dyDescent="0.35">
      <c r="B19" s="251"/>
      <c r="C19" s="335"/>
      <c r="D19" s="336"/>
      <c r="E19" s="335"/>
      <c r="F19" s="335"/>
      <c r="G19" s="343"/>
      <c r="H19" s="577"/>
      <c r="I19" s="577"/>
      <c r="J19" s="413"/>
      <c r="K19" s="414"/>
      <c r="L19" s="415"/>
      <c r="M19" s="343"/>
      <c r="N19" s="335"/>
      <c r="O19" s="254"/>
    </row>
    <row r="20" spans="2:16 4958:4958" ht="21.5" customHeight="1" thickBot="1" x14ac:dyDescent="0.3">
      <c r="B20" s="251"/>
      <c r="C20" s="336"/>
      <c r="D20" s="505" t="s">
        <v>284</v>
      </c>
      <c r="E20" s="506"/>
      <c r="F20" s="506"/>
      <c r="G20" s="506"/>
      <c r="H20" s="506"/>
      <c r="I20" s="506"/>
      <c r="J20" s="506"/>
      <c r="K20" s="506"/>
      <c r="L20" s="506"/>
      <c r="M20" s="506"/>
      <c r="N20" s="507"/>
      <c r="O20" s="254"/>
      <c r="P20" s="335"/>
    </row>
    <row r="21" spans="2:16 4958:4958" ht="38" customHeight="1" thickBot="1" x14ac:dyDescent="0.3">
      <c r="B21" s="251"/>
      <c r="C21" s="336"/>
      <c r="D21" s="311" t="s">
        <v>254</v>
      </c>
      <c r="E21" s="382" t="s">
        <v>255</v>
      </c>
      <c r="F21" s="382" t="s">
        <v>0</v>
      </c>
      <c r="G21" s="578" t="s">
        <v>256</v>
      </c>
      <c r="H21" s="578"/>
      <c r="I21" s="578"/>
      <c r="J21" s="578" t="s">
        <v>1</v>
      </c>
      <c r="K21" s="578"/>
      <c r="L21" s="382" t="s">
        <v>257</v>
      </c>
      <c r="M21" s="578" t="s">
        <v>258</v>
      </c>
      <c r="N21" s="579"/>
      <c r="O21" s="254"/>
      <c r="P21" s="335"/>
    </row>
    <row r="22" spans="2:16 4958:4958" ht="26" customHeight="1" x14ac:dyDescent="0.25">
      <c r="B22" s="251"/>
      <c r="C22" s="336"/>
      <c r="D22" s="583" t="s">
        <v>283</v>
      </c>
      <c r="E22" s="580" t="s">
        <v>259</v>
      </c>
      <c r="F22" s="581"/>
      <c r="G22" s="581"/>
      <c r="H22" s="581"/>
      <c r="I22" s="581"/>
      <c r="J22" s="581"/>
      <c r="K22" s="581"/>
      <c r="L22" s="581"/>
      <c r="M22" s="581"/>
      <c r="N22" s="582"/>
      <c r="O22" s="254"/>
      <c r="P22" s="335"/>
    </row>
    <row r="23" spans="2:16 4958:4958" ht="17.5" customHeight="1" x14ac:dyDescent="0.25">
      <c r="B23" s="251"/>
      <c r="C23" s="336"/>
      <c r="D23" s="584"/>
      <c r="E23" s="425">
        <v>4016</v>
      </c>
      <c r="F23" s="306" t="s">
        <v>285</v>
      </c>
      <c r="G23" s="384">
        <v>1</v>
      </c>
      <c r="H23" s="585" t="s">
        <v>288</v>
      </c>
      <c r="I23" s="585"/>
      <c r="J23" s="383">
        <v>0.27300000000000002</v>
      </c>
      <c r="K23" s="383" t="s">
        <v>293</v>
      </c>
      <c r="L23" s="586">
        <f>ROUNDUP(((J18+I18)/100)*L18,0)</f>
        <v>20</v>
      </c>
      <c r="M23" s="312">
        <f>ROUNDUP(((L23*J23)/(3*3.785))*1.05,0)</f>
        <v>1</v>
      </c>
      <c r="N23" s="410" t="str">
        <f>H23</f>
        <v>Unidad x 3 Galones</v>
      </c>
      <c r="O23" s="254"/>
      <c r="P23" s="335"/>
    </row>
    <row r="24" spans="2:16 4958:4958" ht="19" customHeight="1" thickBot="1" x14ac:dyDescent="0.3">
      <c r="B24" s="251"/>
      <c r="C24" s="336"/>
      <c r="D24" s="584"/>
      <c r="E24" s="426">
        <v>2014</v>
      </c>
      <c r="F24" s="420" t="s">
        <v>261</v>
      </c>
      <c r="G24" s="421">
        <v>1</v>
      </c>
      <c r="H24" s="588" t="s">
        <v>17</v>
      </c>
      <c r="I24" s="588"/>
      <c r="J24" s="422">
        <v>0.15</v>
      </c>
      <c r="K24" s="422" t="s">
        <v>260</v>
      </c>
      <c r="L24" s="587"/>
      <c r="M24" s="432">
        <f>ROUNDUP(((L23*J24)/30)*1.05,0)</f>
        <v>1</v>
      </c>
      <c r="N24" s="424" t="s">
        <v>23</v>
      </c>
      <c r="O24" s="254"/>
      <c r="P24" s="335"/>
    </row>
    <row r="25" spans="2:16 4958:4958" ht="26.5" customHeight="1" thickBot="1" x14ac:dyDescent="0.3">
      <c r="B25" s="251"/>
      <c r="C25" s="336"/>
      <c r="D25" s="584"/>
      <c r="E25" s="589"/>
      <c r="F25" s="590"/>
      <c r="G25" s="590"/>
      <c r="H25" s="590"/>
      <c r="I25" s="590"/>
      <c r="J25" s="590"/>
      <c r="K25" s="590"/>
      <c r="L25" s="590"/>
      <c r="M25" s="590"/>
      <c r="N25" s="591"/>
      <c r="O25" s="254"/>
      <c r="P25" s="335"/>
      <c r="GHR25" s="261" t="e">
        <f>P25-(P25*#REF!)</f>
        <v>#REF!</v>
      </c>
    </row>
    <row r="26" spans="2:16 4958:4958" ht="27.5" customHeight="1" x14ac:dyDescent="0.25">
      <c r="B26" s="251"/>
      <c r="C26" s="336"/>
      <c r="D26" s="584"/>
      <c r="E26" s="599" t="s">
        <v>292</v>
      </c>
      <c r="F26" s="600"/>
      <c r="G26" s="600"/>
      <c r="H26" s="600"/>
      <c r="I26" s="600"/>
      <c r="J26" s="600"/>
      <c r="K26" s="600"/>
      <c r="L26" s="600"/>
      <c r="M26" s="600"/>
      <c r="N26" s="601"/>
      <c r="O26" s="254"/>
      <c r="P26" s="335"/>
    </row>
    <row r="27" spans="2:16 4958:4958" ht="18" customHeight="1" x14ac:dyDescent="0.25">
      <c r="B27" s="251"/>
      <c r="C27" s="336"/>
      <c r="D27" s="584"/>
      <c r="E27" s="592">
        <v>7939</v>
      </c>
      <c r="F27" s="306" t="s">
        <v>286</v>
      </c>
      <c r="G27" s="384">
        <v>1</v>
      </c>
      <c r="H27" s="593" t="s">
        <v>289</v>
      </c>
      <c r="I27" s="594"/>
      <c r="J27" s="595">
        <v>10</v>
      </c>
      <c r="K27" s="585" t="s">
        <v>262</v>
      </c>
      <c r="L27" s="617">
        <f>((L18*M18/10000))*1000</f>
        <v>131.83629385640828</v>
      </c>
      <c r="M27" s="312">
        <f>ROUNDUP((L27/J27)*1.05,0)</f>
        <v>14</v>
      </c>
      <c r="N27" s="411" t="s">
        <v>81</v>
      </c>
      <c r="O27" s="254"/>
      <c r="P27" s="335"/>
    </row>
    <row r="28" spans="2:16 4958:4958" ht="18" customHeight="1" x14ac:dyDescent="0.25">
      <c r="B28" s="251"/>
      <c r="C28" s="336"/>
      <c r="D28" s="584"/>
      <c r="E28" s="592"/>
      <c r="F28" s="306" t="s">
        <v>287</v>
      </c>
      <c r="G28" s="384">
        <v>2</v>
      </c>
      <c r="H28" s="593" t="s">
        <v>290</v>
      </c>
      <c r="I28" s="594"/>
      <c r="J28" s="595"/>
      <c r="K28" s="585"/>
      <c r="L28" s="617"/>
      <c r="M28" s="312">
        <f>M27*G28</f>
        <v>28</v>
      </c>
      <c r="N28" s="411" t="s">
        <v>291</v>
      </c>
      <c r="O28" s="254"/>
      <c r="P28" s="335"/>
    </row>
    <row r="29" spans="2:16 4958:4958" ht="21" customHeight="1" thickBot="1" x14ac:dyDescent="0.3">
      <c r="B29" s="251"/>
      <c r="C29" s="336"/>
      <c r="D29" s="584"/>
      <c r="E29" s="433">
        <f>VLOOKUP(F29,DATA!C4:F10,2,0)</f>
        <v>5835</v>
      </c>
      <c r="F29" s="429" t="s">
        <v>319</v>
      </c>
      <c r="G29" s="421">
        <v>2</v>
      </c>
      <c r="H29" s="588" t="s">
        <v>244</v>
      </c>
      <c r="I29" s="588"/>
      <c r="J29" s="596"/>
      <c r="K29" s="588"/>
      <c r="L29" s="618"/>
      <c r="M29" s="432">
        <f>M27*G29</f>
        <v>28</v>
      </c>
      <c r="N29" s="424" t="s">
        <v>244</v>
      </c>
      <c r="O29" s="254"/>
      <c r="P29" s="335"/>
    </row>
    <row r="30" spans="2:16 4958:4958" ht="27.5" customHeight="1" thickBot="1" x14ac:dyDescent="0.3">
      <c r="B30" s="251"/>
      <c r="C30" s="336"/>
      <c r="D30" s="584"/>
      <c r="E30" s="611"/>
      <c r="F30" s="612"/>
      <c r="G30" s="612"/>
      <c r="H30" s="612"/>
      <c r="I30" s="612"/>
      <c r="J30" s="612"/>
      <c r="K30" s="612"/>
      <c r="L30" s="612"/>
      <c r="M30" s="612"/>
      <c r="N30" s="613"/>
      <c r="O30" s="254"/>
      <c r="P30" s="335"/>
      <c r="GHR30" s="261" t="e">
        <f>P30-(P30*#REF!)</f>
        <v>#REF!</v>
      </c>
    </row>
    <row r="31" spans="2:16 4958:4958" ht="20.5" customHeight="1" x14ac:dyDescent="0.25">
      <c r="B31" s="251"/>
      <c r="C31" s="336"/>
      <c r="D31" s="584"/>
      <c r="E31" s="614" t="s">
        <v>263</v>
      </c>
      <c r="F31" s="615"/>
      <c r="G31" s="615"/>
      <c r="H31" s="615"/>
      <c r="I31" s="615"/>
      <c r="J31" s="615"/>
      <c r="K31" s="615"/>
      <c r="L31" s="615"/>
      <c r="M31" s="615"/>
      <c r="N31" s="616"/>
      <c r="O31" s="254"/>
      <c r="P31" s="335"/>
    </row>
    <row r="32" spans="2:16 4958:4958" ht="36.5" customHeight="1" x14ac:dyDescent="0.25">
      <c r="B32" s="251"/>
      <c r="C32" s="336"/>
      <c r="D32" s="584"/>
      <c r="E32" s="425">
        <f>VLOOKUP(F32,DATA!C43:I48,2,0)</f>
        <v>7899</v>
      </c>
      <c r="F32" s="310" t="s">
        <v>48</v>
      </c>
      <c r="G32" s="384">
        <v>1</v>
      </c>
      <c r="H32" s="597" t="str">
        <f>VLOOKUP(F32,DATA!C43:I48,4,0)</f>
        <v>Kit x  23,8 Lb</v>
      </c>
      <c r="I32" s="597"/>
      <c r="J32" s="597">
        <f>VLOOKUP(F32,DATA!C43:I48,5,0)</f>
        <v>27</v>
      </c>
      <c r="K32" s="597" t="s">
        <v>264</v>
      </c>
      <c r="L32" s="586">
        <f>N18</f>
        <v>15.707963267948966</v>
      </c>
      <c r="M32" s="312">
        <f>ROUNDUP(((L32/J32))*1.05,0)</f>
        <v>1</v>
      </c>
      <c r="N32" s="411" t="str">
        <f>H32</f>
        <v>Kit x  23,8 Lb</v>
      </c>
      <c r="O32" s="254"/>
      <c r="P32" s="335"/>
    </row>
    <row r="33" spans="2:16 4957:4958" ht="18.75" customHeight="1" thickBot="1" x14ac:dyDescent="0.3">
      <c r="B33" s="251"/>
      <c r="C33" s="336"/>
      <c r="D33" s="584"/>
      <c r="E33" s="433">
        <f>E29</f>
        <v>5835</v>
      </c>
      <c r="F33" s="420" t="str">
        <f>F29</f>
        <v>FLOWFRESH PIG. TAN-100</v>
      </c>
      <c r="G33" s="421">
        <f>VLOOKUP(F32,DATA!C43:I48,7,0)</f>
        <v>1</v>
      </c>
      <c r="H33" s="607" t="s">
        <v>244</v>
      </c>
      <c r="I33" s="607"/>
      <c r="J33" s="598"/>
      <c r="K33" s="598"/>
      <c r="L33" s="587"/>
      <c r="M33" s="432">
        <f>M32*G33</f>
        <v>1</v>
      </c>
      <c r="N33" s="424" t="s">
        <v>244</v>
      </c>
      <c r="O33" s="254"/>
      <c r="P33" s="335"/>
    </row>
    <row r="34" spans="2:16 4957:4958" ht="18.75" customHeight="1" x14ac:dyDescent="0.3">
      <c r="B34" s="251"/>
      <c r="C34" s="335"/>
      <c r="D34" s="336"/>
      <c r="E34" s="335"/>
      <c r="F34" s="335"/>
      <c r="G34" s="335"/>
      <c r="H34" s="336"/>
      <c r="I34" s="335"/>
      <c r="J34" s="335"/>
      <c r="K34" s="336"/>
      <c r="L34" s="335"/>
      <c r="M34" s="342"/>
      <c r="N34" s="335"/>
      <c r="O34" s="254"/>
      <c r="GHQ34" s="262" t="s">
        <v>265</v>
      </c>
      <c r="GHR34" s="261" t="e">
        <f>GHR25+GHR30+#REF!</f>
        <v>#REF!</v>
      </c>
    </row>
    <row r="35" spans="2:16 4957:4958" ht="17.5" x14ac:dyDescent="0.25">
      <c r="B35" s="255"/>
      <c r="C35" s="412"/>
      <c r="D35" s="336"/>
      <c r="E35" s="335"/>
      <c r="F35" s="335"/>
      <c r="G35" s="329"/>
      <c r="H35" s="329"/>
      <c r="I35" s="329"/>
      <c r="J35" s="329"/>
      <c r="K35" s="329"/>
      <c r="L35" s="329"/>
      <c r="M35" s="329"/>
      <c r="N35" s="329"/>
      <c r="O35" s="254"/>
    </row>
    <row r="36" spans="2:16 4957:4958" ht="14" x14ac:dyDescent="0.25">
      <c r="B36" s="263" t="s">
        <v>266</v>
      </c>
      <c r="C36" s="337"/>
      <c r="D36" s="337"/>
      <c r="E36" s="337"/>
      <c r="F36" s="337"/>
      <c r="G36" s="337"/>
      <c r="H36" s="337"/>
      <c r="I36" s="337"/>
      <c r="J36" s="337"/>
      <c r="K36" s="337"/>
      <c r="L36" s="337"/>
      <c r="M36" s="337"/>
      <c r="N36" s="337"/>
      <c r="O36" s="254"/>
    </row>
    <row r="37" spans="2:16 4957:4958" ht="13.5" customHeight="1" x14ac:dyDescent="0.25">
      <c r="B37" s="602" t="s">
        <v>29</v>
      </c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4"/>
    </row>
    <row r="38" spans="2:16 4957:4958" ht="13.5" x14ac:dyDescent="0.25">
      <c r="B38" s="602"/>
      <c r="C38" s="603"/>
      <c r="D38" s="603"/>
      <c r="E38" s="603"/>
      <c r="F38" s="603"/>
      <c r="G38" s="603"/>
      <c r="H38" s="603"/>
      <c r="I38" s="603"/>
      <c r="J38" s="603"/>
      <c r="K38" s="603"/>
      <c r="L38" s="603"/>
      <c r="M38" s="603"/>
      <c r="N38" s="603"/>
      <c r="O38" s="604"/>
    </row>
    <row r="39" spans="2:16 4957:4958" ht="13" customHeight="1" x14ac:dyDescent="0.25">
      <c r="B39" s="605" t="s">
        <v>267</v>
      </c>
      <c r="C39" s="606"/>
      <c r="D39" s="606"/>
      <c r="E39" s="606"/>
      <c r="F39" s="606"/>
      <c r="G39" s="606"/>
      <c r="H39" s="606"/>
      <c r="I39" s="606"/>
      <c r="J39" s="606"/>
      <c r="K39" s="606"/>
      <c r="L39" s="606"/>
      <c r="M39" s="606"/>
      <c r="N39" s="606"/>
      <c r="O39" s="254"/>
    </row>
    <row r="40" spans="2:16 4957:4958" ht="23" customHeight="1" x14ac:dyDescent="0.25">
      <c r="B40" s="602" t="s">
        <v>30</v>
      </c>
      <c r="C40" s="603"/>
      <c r="D40" s="603"/>
      <c r="E40" s="603"/>
      <c r="F40" s="603"/>
      <c r="G40" s="603"/>
      <c r="H40" s="603"/>
      <c r="I40" s="603"/>
      <c r="J40" s="603"/>
      <c r="K40" s="603"/>
      <c r="L40" s="603"/>
      <c r="M40" s="603"/>
      <c r="N40" s="603"/>
      <c r="O40" s="254"/>
    </row>
    <row r="41" spans="2:16 4957:4958" ht="14" customHeight="1" x14ac:dyDescent="0.25">
      <c r="B41" s="364" t="s">
        <v>317</v>
      </c>
      <c r="C41" s="338"/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338"/>
      <c r="O41" s="254"/>
    </row>
    <row r="42" spans="2:16 4957:4958" ht="14" customHeight="1" x14ac:dyDescent="0.25">
      <c r="B42" s="364"/>
      <c r="C42" s="338"/>
      <c r="D42" s="338"/>
      <c r="E42" s="338"/>
      <c r="F42" s="338"/>
      <c r="G42" s="338"/>
      <c r="H42" s="338"/>
      <c r="I42" s="338"/>
      <c r="J42" s="338"/>
      <c r="K42" s="338"/>
      <c r="L42" s="338"/>
      <c r="M42" s="338"/>
      <c r="N42" s="338"/>
      <c r="O42" s="254"/>
    </row>
    <row r="43" spans="2:16 4957:4958" ht="14.5" x14ac:dyDescent="0.35">
      <c r="B43" s="265" t="s">
        <v>268</v>
      </c>
      <c r="C43" s="339"/>
      <c r="D43" s="266"/>
      <c r="E43" s="266"/>
      <c r="F43" s="340"/>
      <c r="G43" s="340"/>
      <c r="H43" s="341" t="s">
        <v>171</v>
      </c>
      <c r="I43" s="340"/>
      <c r="J43" s="340"/>
      <c r="K43" s="340"/>
      <c r="L43" s="340"/>
      <c r="M43" s="340"/>
      <c r="N43" s="340"/>
      <c r="O43" s="254"/>
    </row>
    <row r="44" spans="2:16 4957:4958" ht="14.5" x14ac:dyDescent="0.35">
      <c r="B44" s="27" t="s">
        <v>269</v>
      </c>
      <c r="C44" s="338"/>
      <c r="D44" s="338"/>
      <c r="E44" s="338"/>
      <c r="F44" s="338"/>
      <c r="G44" s="338"/>
      <c r="H44" s="134" t="s">
        <v>270</v>
      </c>
      <c r="I44" s="338"/>
      <c r="J44" s="338"/>
      <c r="K44" s="338"/>
      <c r="L44" s="338"/>
      <c r="M44" s="338"/>
      <c r="N44" s="338"/>
      <c r="O44" s="267"/>
    </row>
    <row r="45" spans="2:16 4957:4958" ht="18.5" customHeight="1" x14ac:dyDescent="0.3">
      <c r="B45" s="265" t="s">
        <v>271</v>
      </c>
      <c r="C45" s="338"/>
      <c r="D45" s="338"/>
      <c r="E45" s="338"/>
      <c r="F45" s="338"/>
      <c r="G45" s="338"/>
      <c r="H45" s="341" t="s">
        <v>272</v>
      </c>
      <c r="I45" s="338"/>
      <c r="J45" s="338"/>
      <c r="K45" s="338"/>
      <c r="L45" s="338"/>
      <c r="M45" s="338"/>
      <c r="N45" s="338"/>
      <c r="O45" s="267"/>
    </row>
    <row r="46" spans="2:16 4957:4958" ht="17.5" customHeight="1" x14ac:dyDescent="0.35">
      <c r="B46" s="27" t="s">
        <v>273</v>
      </c>
      <c r="C46" s="338"/>
      <c r="D46" s="338"/>
      <c r="E46" s="338"/>
      <c r="F46" s="338"/>
      <c r="G46" s="338"/>
      <c r="H46" s="134" t="s">
        <v>274</v>
      </c>
      <c r="I46" s="338"/>
      <c r="J46" s="338"/>
      <c r="K46" s="338"/>
      <c r="L46" s="338"/>
      <c r="M46" s="338"/>
      <c r="N46" s="338"/>
      <c r="O46" s="267"/>
    </row>
    <row r="47" spans="2:16 4957:4958" ht="14" x14ac:dyDescent="0.3">
      <c r="B47" s="265" t="s">
        <v>275</v>
      </c>
      <c r="C47" s="338"/>
      <c r="D47" s="338"/>
      <c r="E47" s="338"/>
      <c r="F47" s="338"/>
      <c r="G47" s="338"/>
      <c r="H47" s="342" t="s">
        <v>175</v>
      </c>
      <c r="I47" s="338"/>
      <c r="J47" s="338"/>
      <c r="K47" s="338"/>
      <c r="L47" s="338"/>
      <c r="M47" s="338"/>
      <c r="N47" s="338"/>
      <c r="O47" s="267"/>
    </row>
    <row r="48" spans="2:16 4957:4958" ht="14.5" x14ac:dyDescent="0.35">
      <c r="B48" s="27" t="s">
        <v>276</v>
      </c>
      <c r="C48" s="338"/>
      <c r="D48" s="338"/>
      <c r="E48" s="338"/>
      <c r="F48" s="338"/>
      <c r="G48" s="338"/>
      <c r="H48" s="136" t="s">
        <v>277</v>
      </c>
      <c r="I48" s="338"/>
      <c r="J48" s="338"/>
      <c r="K48" s="338"/>
      <c r="L48" s="338"/>
      <c r="M48" s="338"/>
      <c r="N48" s="338"/>
      <c r="O48" s="267"/>
    </row>
    <row r="49" spans="2:15" ht="14" x14ac:dyDescent="0.25">
      <c r="B49" s="264"/>
      <c r="C49" s="338"/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267"/>
    </row>
    <row r="50" spans="2:15" ht="13.5" x14ac:dyDescent="0.25">
      <c r="B50" s="256"/>
      <c r="C50" s="343"/>
      <c r="D50" s="343"/>
      <c r="E50" s="336"/>
      <c r="F50" s="335"/>
      <c r="G50" s="335"/>
      <c r="H50" s="336"/>
      <c r="I50" s="335"/>
      <c r="J50" s="335"/>
      <c r="K50" s="335"/>
      <c r="L50" s="335"/>
      <c r="M50" s="335"/>
      <c r="N50" s="335"/>
      <c r="O50" s="254"/>
    </row>
    <row r="51" spans="2:15" ht="14" x14ac:dyDescent="0.25">
      <c r="B51" s="264"/>
      <c r="C51" s="338"/>
      <c r="D51" s="338"/>
      <c r="E51" s="338"/>
      <c r="F51" s="338"/>
      <c r="G51" s="338"/>
      <c r="H51" s="338"/>
      <c r="I51" s="338"/>
      <c r="J51" s="335"/>
      <c r="K51" s="335"/>
      <c r="L51" s="335"/>
      <c r="M51" s="335"/>
      <c r="N51" s="335"/>
      <c r="O51" s="254"/>
    </row>
    <row r="52" spans="2:15" ht="14" x14ac:dyDescent="0.25">
      <c r="B52" s="264"/>
      <c r="C52" s="338"/>
      <c r="D52" s="338"/>
      <c r="E52" s="338"/>
      <c r="F52" s="338"/>
      <c r="G52" s="338"/>
      <c r="H52" s="338"/>
      <c r="I52" s="338"/>
      <c r="J52" s="335"/>
      <c r="K52" s="335"/>
      <c r="L52" s="335"/>
      <c r="M52" s="335"/>
      <c r="N52" s="335"/>
      <c r="O52" s="254"/>
    </row>
    <row r="53" spans="2:15" ht="14" x14ac:dyDescent="0.25">
      <c r="B53" s="264"/>
      <c r="C53" s="338"/>
      <c r="D53" s="338"/>
      <c r="E53" s="338"/>
      <c r="F53" s="338"/>
      <c r="G53" s="338"/>
      <c r="H53" s="338"/>
      <c r="I53" s="338"/>
      <c r="J53" s="335"/>
      <c r="K53" s="335"/>
      <c r="L53" s="335"/>
      <c r="M53" s="335"/>
      <c r="N53" s="335"/>
      <c r="O53" s="254"/>
    </row>
    <row r="54" spans="2:15" ht="14.5" thickBot="1" x14ac:dyDescent="0.3">
      <c r="B54" s="268"/>
      <c r="C54" s="269"/>
      <c r="D54" s="269"/>
      <c r="E54" s="269"/>
      <c r="F54" s="269"/>
      <c r="G54" s="269"/>
      <c r="H54" s="269"/>
      <c r="I54" s="269"/>
      <c r="J54" s="270"/>
      <c r="K54" s="271"/>
      <c r="L54" s="270"/>
      <c r="M54" s="270"/>
      <c r="N54" s="271"/>
      <c r="O54" s="272"/>
    </row>
    <row r="55" spans="2:15" ht="13.5" hidden="1" x14ac:dyDescent="0.25">
      <c r="B55" s="252"/>
      <c r="C55" s="252"/>
      <c r="D55" s="253"/>
      <c r="E55" s="252"/>
      <c r="F55" s="253"/>
      <c r="G55" s="252"/>
      <c r="H55" s="252"/>
      <c r="I55" s="253"/>
      <c r="J55" s="252"/>
      <c r="K55" s="253"/>
      <c r="L55" s="252"/>
      <c r="M55" s="252"/>
      <c r="N55" s="253"/>
    </row>
    <row r="56" spans="2:15" ht="13.5" hidden="1" x14ac:dyDescent="0.25">
      <c r="B56" s="252"/>
      <c r="C56" s="252"/>
      <c r="D56" s="253"/>
      <c r="E56" s="252"/>
      <c r="F56" s="253"/>
      <c r="G56" s="252"/>
      <c r="H56" s="252"/>
      <c r="I56" s="253"/>
      <c r="J56" s="252"/>
      <c r="K56" s="253"/>
      <c r="L56" s="252"/>
      <c r="M56" s="252"/>
      <c r="N56" s="253"/>
    </row>
    <row r="57" spans="2:15" ht="13.5" hidden="1" x14ac:dyDescent="0.25">
      <c r="B57" s="252"/>
      <c r="C57" s="252"/>
      <c r="D57" s="253"/>
      <c r="E57" s="252"/>
      <c r="F57" s="253"/>
      <c r="G57" s="252"/>
      <c r="H57" s="252"/>
      <c r="I57" s="253"/>
      <c r="J57" s="252"/>
      <c r="K57" s="253"/>
      <c r="L57" s="252"/>
      <c r="M57" s="252"/>
      <c r="N57" s="253"/>
    </row>
    <row r="58" spans="2:15" ht="13.5" hidden="1" x14ac:dyDescent="0.25">
      <c r="B58" s="252"/>
      <c r="C58" s="252"/>
      <c r="D58" s="253"/>
      <c r="E58" s="252"/>
      <c r="F58" s="253"/>
      <c r="G58" s="252"/>
      <c r="H58" s="252"/>
      <c r="I58" s="253"/>
      <c r="J58" s="252"/>
      <c r="K58" s="253"/>
      <c r="L58" s="252"/>
      <c r="M58" s="252"/>
      <c r="N58" s="253"/>
    </row>
    <row r="59" spans="2:15" ht="13.5" hidden="1" x14ac:dyDescent="0.25">
      <c r="B59" s="252"/>
      <c r="C59" s="252"/>
      <c r="D59" s="253"/>
      <c r="E59" s="252"/>
      <c r="F59" s="253"/>
      <c r="G59" s="252"/>
      <c r="H59" s="252"/>
      <c r="I59" s="253"/>
      <c r="J59" s="252"/>
      <c r="K59" s="253"/>
      <c r="L59" s="252"/>
      <c r="M59" s="252"/>
      <c r="N59" s="253"/>
    </row>
    <row r="60" spans="2:15" ht="13.5" hidden="1" x14ac:dyDescent="0.25">
      <c r="B60" s="252"/>
      <c r="C60" s="252"/>
      <c r="D60" s="253"/>
      <c r="E60" s="252"/>
      <c r="F60" s="253"/>
      <c r="G60" s="252"/>
      <c r="H60" s="252"/>
      <c r="I60" s="253"/>
      <c r="J60" s="252"/>
      <c r="K60" s="253"/>
      <c r="L60" s="252"/>
      <c r="M60" s="252"/>
      <c r="N60" s="253"/>
    </row>
    <row r="61" spans="2:15" ht="13.5" hidden="1" x14ac:dyDescent="0.25">
      <c r="B61" s="252"/>
      <c r="C61" s="252"/>
      <c r="D61" s="253"/>
      <c r="E61" s="252"/>
      <c r="F61" s="253"/>
      <c r="G61" s="252"/>
      <c r="H61" s="252"/>
      <c r="I61" s="253"/>
      <c r="J61" s="252"/>
      <c r="K61" s="253"/>
      <c r="L61" s="252"/>
      <c r="M61" s="252"/>
      <c r="N61" s="253"/>
    </row>
    <row r="62" spans="2:15" ht="13.5" hidden="1" x14ac:dyDescent="0.25">
      <c r="B62" s="252"/>
      <c r="C62" s="252"/>
      <c r="D62" s="253"/>
      <c r="E62" s="252"/>
      <c r="F62" s="253"/>
      <c r="G62" s="252"/>
      <c r="H62" s="252"/>
      <c r="I62" s="253"/>
      <c r="J62" s="252"/>
      <c r="K62" s="253"/>
      <c r="L62" s="252"/>
      <c r="M62" s="252"/>
      <c r="N62" s="253"/>
    </row>
    <row r="63" spans="2:15" ht="13.5" hidden="1" x14ac:dyDescent="0.25">
      <c r="B63" s="252"/>
      <c r="C63" s="252"/>
      <c r="D63" s="253"/>
      <c r="E63" s="252"/>
      <c r="F63" s="253"/>
      <c r="G63" s="252"/>
      <c r="H63" s="252"/>
      <c r="I63" s="253"/>
      <c r="J63" s="252"/>
      <c r="K63" s="253"/>
      <c r="L63" s="252"/>
      <c r="M63" s="252"/>
      <c r="N63" s="253"/>
    </row>
    <row r="64" spans="2:15" ht="13.5" hidden="1" x14ac:dyDescent="0.25">
      <c r="B64" s="252"/>
      <c r="C64" s="252"/>
      <c r="D64" s="253"/>
      <c r="E64" s="252"/>
      <c r="F64" s="253"/>
      <c r="G64" s="252"/>
      <c r="H64" s="252"/>
      <c r="I64" s="253"/>
      <c r="J64" s="252"/>
      <c r="K64" s="253"/>
      <c r="L64" s="252"/>
      <c r="M64" s="252"/>
      <c r="N64" s="253"/>
    </row>
    <row r="65" spans="2:14" ht="13.5" hidden="1" x14ac:dyDescent="0.25">
      <c r="B65" s="252"/>
      <c r="C65" s="252"/>
      <c r="D65" s="253"/>
      <c r="E65" s="252"/>
      <c r="F65" s="253"/>
      <c r="G65" s="252"/>
      <c r="H65" s="252"/>
      <c r="I65" s="253"/>
      <c r="J65" s="252"/>
      <c r="K65" s="253"/>
      <c r="L65" s="252"/>
      <c r="M65" s="252"/>
      <c r="N65" s="253"/>
    </row>
    <row r="66" spans="2:14" ht="13.5" hidden="1" x14ac:dyDescent="0.25">
      <c r="B66" s="252"/>
      <c r="C66" s="252"/>
      <c r="D66" s="253"/>
      <c r="E66" s="252"/>
      <c r="F66" s="253"/>
      <c r="G66" s="252"/>
      <c r="H66" s="252"/>
      <c r="I66" s="253"/>
      <c r="J66" s="252"/>
      <c r="K66" s="253"/>
      <c r="L66" s="252"/>
      <c r="M66" s="252"/>
      <c r="N66" s="253"/>
    </row>
    <row r="67" spans="2:14" ht="13.5" hidden="1" x14ac:dyDescent="0.25">
      <c r="B67" s="252"/>
      <c r="C67" s="252"/>
      <c r="D67" s="253"/>
      <c r="E67" s="252"/>
      <c r="F67" s="253"/>
      <c r="G67" s="252"/>
      <c r="H67" s="252"/>
      <c r="I67" s="253"/>
      <c r="J67" s="252"/>
      <c r="K67" s="253"/>
      <c r="L67" s="252"/>
      <c r="M67" s="252"/>
      <c r="N67" s="253"/>
    </row>
    <row r="68" spans="2:14" ht="13.5" hidden="1" x14ac:dyDescent="0.25">
      <c r="B68" s="252"/>
      <c r="C68" s="252"/>
      <c r="D68" s="253"/>
      <c r="E68" s="252"/>
      <c r="F68" s="253"/>
      <c r="G68" s="252"/>
      <c r="H68" s="252"/>
      <c r="I68" s="253"/>
      <c r="J68" s="252"/>
      <c r="K68" s="253"/>
      <c r="L68" s="252"/>
      <c r="M68" s="252"/>
      <c r="N68" s="253"/>
    </row>
    <row r="69" spans="2:14" ht="13.5" hidden="1" x14ac:dyDescent="0.25">
      <c r="B69" s="252"/>
      <c r="C69" s="252"/>
      <c r="D69" s="253"/>
      <c r="E69" s="252"/>
      <c r="F69" s="253"/>
      <c r="G69" s="252"/>
      <c r="H69" s="252"/>
      <c r="I69" s="253"/>
      <c r="J69" s="252"/>
      <c r="K69" s="253"/>
      <c r="L69" s="252"/>
      <c r="M69" s="252"/>
      <c r="N69" s="253"/>
    </row>
    <row r="70" spans="2:14" ht="13.5" hidden="1" x14ac:dyDescent="0.25">
      <c r="B70" s="252"/>
      <c r="C70" s="252"/>
      <c r="D70" s="253"/>
      <c r="E70" s="252"/>
      <c r="F70" s="253"/>
      <c r="G70" s="252"/>
      <c r="H70" s="252"/>
      <c r="I70" s="253"/>
      <c r="J70" s="252"/>
      <c r="K70" s="253"/>
      <c r="L70" s="252"/>
      <c r="M70" s="252"/>
      <c r="N70" s="253"/>
    </row>
    <row r="71" spans="2:14" ht="13.5" hidden="1" x14ac:dyDescent="0.25">
      <c r="B71" s="252"/>
      <c r="C71" s="252"/>
      <c r="D71" s="253"/>
      <c r="E71" s="252"/>
      <c r="F71" s="253"/>
      <c r="G71" s="252"/>
      <c r="H71" s="252"/>
      <c r="I71" s="253"/>
      <c r="J71" s="252"/>
      <c r="K71" s="253"/>
      <c r="L71" s="252"/>
      <c r="M71" s="252"/>
      <c r="N71" s="253"/>
    </row>
    <row r="72" spans="2:14" ht="13.5" hidden="1" x14ac:dyDescent="0.25">
      <c r="B72" s="252"/>
      <c r="C72" s="252"/>
      <c r="D72" s="253"/>
      <c r="E72" s="252"/>
      <c r="F72" s="253"/>
      <c r="G72" s="252"/>
      <c r="H72" s="252"/>
      <c r="I72" s="253"/>
      <c r="J72" s="252"/>
      <c r="K72" s="253"/>
      <c r="L72" s="252"/>
      <c r="M72" s="252"/>
      <c r="N72" s="253"/>
    </row>
    <row r="73" spans="2:14" ht="13.5" hidden="1" x14ac:dyDescent="0.25">
      <c r="B73" s="252"/>
      <c r="C73" s="252"/>
      <c r="D73" s="253"/>
      <c r="E73" s="252"/>
      <c r="F73" s="253"/>
      <c r="G73" s="252"/>
      <c r="H73" s="252"/>
      <c r="I73" s="253"/>
      <c r="J73" s="252"/>
      <c r="K73" s="253"/>
      <c r="L73" s="252"/>
      <c r="M73" s="252"/>
      <c r="N73" s="253"/>
    </row>
    <row r="74" spans="2:14" ht="13.5" hidden="1" x14ac:dyDescent="0.25">
      <c r="B74" s="252"/>
      <c r="C74" s="252"/>
      <c r="D74" s="253"/>
      <c r="E74" s="252"/>
      <c r="F74" s="253"/>
      <c r="G74" s="252"/>
      <c r="H74" s="252"/>
      <c r="I74" s="253"/>
      <c r="J74" s="252"/>
      <c r="K74" s="253"/>
      <c r="L74" s="252"/>
      <c r="M74" s="252"/>
      <c r="N74" s="253"/>
    </row>
    <row r="75" spans="2:14" ht="13.5" hidden="1" x14ac:dyDescent="0.25">
      <c r="B75" s="252"/>
      <c r="C75" s="252"/>
      <c r="D75" s="253"/>
      <c r="E75" s="252"/>
      <c r="F75" s="253"/>
      <c r="G75" s="252"/>
      <c r="H75" s="252"/>
      <c r="I75" s="253"/>
      <c r="J75" s="252"/>
      <c r="K75" s="253"/>
      <c r="L75" s="252"/>
      <c r="M75" s="252"/>
      <c r="N75" s="253"/>
    </row>
    <row r="76" spans="2:14" ht="13.5" hidden="1" x14ac:dyDescent="0.25">
      <c r="B76" s="252"/>
      <c r="C76" s="252"/>
      <c r="D76" s="253"/>
      <c r="E76" s="252"/>
      <c r="F76" s="253"/>
      <c r="G76" s="252"/>
      <c r="H76" s="252"/>
      <c r="I76" s="253"/>
      <c r="J76" s="252"/>
      <c r="K76" s="253"/>
      <c r="L76" s="252"/>
      <c r="M76" s="252"/>
      <c r="N76" s="253"/>
    </row>
    <row r="77" spans="2:14" ht="13.5" hidden="1" x14ac:dyDescent="0.25">
      <c r="B77" s="252"/>
      <c r="C77" s="252"/>
      <c r="D77" s="253"/>
      <c r="E77" s="252"/>
      <c r="F77" s="253"/>
      <c r="G77" s="252"/>
      <c r="H77" s="252"/>
      <c r="I77" s="253"/>
      <c r="J77" s="252"/>
      <c r="K77" s="253"/>
      <c r="L77" s="252"/>
      <c r="M77" s="252"/>
      <c r="N77" s="253"/>
    </row>
    <row r="78" spans="2:14" ht="13.5" hidden="1" x14ac:dyDescent="0.25">
      <c r="B78" s="252"/>
      <c r="C78" s="252"/>
      <c r="D78" s="253"/>
      <c r="E78" s="252"/>
      <c r="F78" s="253"/>
      <c r="G78" s="252"/>
      <c r="H78" s="252"/>
      <c r="I78" s="253"/>
      <c r="J78" s="252"/>
      <c r="K78" s="253"/>
      <c r="L78" s="252"/>
      <c r="M78" s="252"/>
      <c r="N78" s="253"/>
    </row>
    <row r="79" spans="2:14" ht="13.5" hidden="1" x14ac:dyDescent="0.25">
      <c r="B79" s="252"/>
      <c r="C79" s="252"/>
      <c r="D79" s="253"/>
      <c r="E79" s="252"/>
      <c r="F79" s="253"/>
      <c r="G79" s="252"/>
      <c r="H79" s="252"/>
      <c r="I79" s="253"/>
      <c r="J79" s="252"/>
      <c r="K79" s="253"/>
      <c r="L79" s="252"/>
      <c r="M79" s="252"/>
      <c r="N79" s="253"/>
    </row>
    <row r="80" spans="2:14" ht="13.5" hidden="1" x14ac:dyDescent="0.25">
      <c r="B80" s="252"/>
      <c r="C80" s="252"/>
      <c r="D80" s="253"/>
      <c r="E80" s="252"/>
      <c r="F80" s="253"/>
      <c r="G80" s="252"/>
      <c r="H80" s="252"/>
      <c r="I80" s="253"/>
      <c r="J80" s="252"/>
      <c r="K80" s="253"/>
      <c r="L80" s="252"/>
      <c r="M80" s="252"/>
      <c r="N80" s="253"/>
    </row>
    <row r="81" spans="2:14" ht="13.5" hidden="1" x14ac:dyDescent="0.25">
      <c r="B81" s="252"/>
      <c r="C81" s="252"/>
      <c r="D81" s="253"/>
      <c r="E81" s="252"/>
      <c r="F81" s="253"/>
      <c r="G81" s="252"/>
      <c r="H81" s="252"/>
      <c r="I81" s="253"/>
      <c r="J81" s="252"/>
      <c r="K81" s="253"/>
      <c r="L81" s="252"/>
      <c r="M81" s="252"/>
      <c r="N81" s="253"/>
    </row>
    <row r="82" spans="2:14" ht="13.5" hidden="1" x14ac:dyDescent="0.25">
      <c r="B82" s="252"/>
      <c r="C82" s="252"/>
      <c r="D82" s="253"/>
      <c r="E82" s="252"/>
      <c r="F82" s="253"/>
      <c r="G82" s="252"/>
      <c r="H82" s="252"/>
      <c r="I82" s="253"/>
      <c r="J82" s="252"/>
      <c r="K82" s="253"/>
      <c r="L82" s="252"/>
      <c r="M82" s="252"/>
      <c r="N82" s="253"/>
    </row>
    <row r="83" spans="2:14" ht="13.5" hidden="1" x14ac:dyDescent="0.25">
      <c r="B83" s="252"/>
      <c r="C83" s="252"/>
      <c r="D83" s="253"/>
      <c r="E83" s="252"/>
      <c r="F83" s="253"/>
      <c r="G83" s="252"/>
      <c r="H83" s="252"/>
      <c r="I83" s="253"/>
      <c r="J83" s="252"/>
      <c r="K83" s="253"/>
      <c r="L83" s="252"/>
      <c r="M83" s="252"/>
      <c r="N83" s="253"/>
    </row>
    <row r="84" spans="2:14" ht="13.5" hidden="1" x14ac:dyDescent="0.25">
      <c r="B84" s="252"/>
      <c r="C84" s="252"/>
      <c r="D84" s="253"/>
      <c r="E84" s="252"/>
      <c r="F84" s="253"/>
      <c r="G84" s="252"/>
      <c r="H84" s="252"/>
      <c r="I84" s="253"/>
      <c r="J84" s="252"/>
      <c r="K84" s="253"/>
      <c r="L84" s="252"/>
      <c r="M84" s="252"/>
      <c r="N84" s="253"/>
    </row>
    <row r="85" spans="2:14" ht="13.5" hidden="1" x14ac:dyDescent="0.25">
      <c r="B85" s="252"/>
      <c r="C85" s="252"/>
      <c r="D85" s="253"/>
      <c r="E85" s="252"/>
      <c r="F85" s="253"/>
      <c r="G85" s="252"/>
      <c r="H85" s="252"/>
      <c r="I85" s="253"/>
      <c r="J85" s="252"/>
      <c r="K85" s="253"/>
      <c r="L85" s="252"/>
      <c r="M85" s="252"/>
      <c r="N85" s="253"/>
    </row>
    <row r="86" spans="2:14" ht="13.5" hidden="1" x14ac:dyDescent="0.25">
      <c r="B86" s="252"/>
      <c r="C86" s="252"/>
      <c r="D86" s="253"/>
      <c r="E86" s="252"/>
      <c r="F86" s="253"/>
      <c r="G86" s="252"/>
      <c r="H86" s="252"/>
      <c r="I86" s="253"/>
      <c r="J86" s="252"/>
      <c r="K86" s="253"/>
      <c r="L86" s="252"/>
      <c r="M86" s="252"/>
      <c r="N86" s="253"/>
    </row>
    <row r="87" spans="2:14" ht="13.5" hidden="1" x14ac:dyDescent="0.25">
      <c r="B87" s="252"/>
      <c r="C87" s="252"/>
      <c r="D87" s="253"/>
      <c r="E87" s="252"/>
      <c r="F87" s="253"/>
      <c r="G87" s="252"/>
      <c r="H87" s="252"/>
      <c r="I87" s="253"/>
      <c r="J87" s="252"/>
      <c r="K87" s="253"/>
      <c r="L87" s="252"/>
      <c r="M87" s="252"/>
      <c r="N87" s="253"/>
    </row>
    <row r="88" spans="2:14" ht="13.5" hidden="1" x14ac:dyDescent="0.25">
      <c r="B88" s="252"/>
      <c r="C88" s="252"/>
      <c r="D88" s="253"/>
      <c r="E88" s="252"/>
      <c r="F88" s="253"/>
      <c r="G88" s="252"/>
      <c r="H88" s="252"/>
      <c r="I88" s="253"/>
      <c r="J88" s="252"/>
      <c r="K88" s="253"/>
      <c r="L88" s="252"/>
      <c r="M88" s="252"/>
      <c r="N88" s="253"/>
    </row>
    <row r="89" spans="2:14" ht="13.5" hidden="1" x14ac:dyDescent="0.25">
      <c r="B89" s="252"/>
      <c r="C89" s="252"/>
      <c r="D89" s="253"/>
      <c r="E89" s="252"/>
      <c r="F89" s="253"/>
      <c r="G89" s="252"/>
      <c r="H89" s="252"/>
      <c r="I89" s="253"/>
      <c r="J89" s="252"/>
      <c r="K89" s="253"/>
      <c r="L89" s="252"/>
      <c r="M89" s="252"/>
      <c r="N89" s="253"/>
    </row>
    <row r="90" spans="2:14" ht="16.5" hidden="1" customHeight="1" x14ac:dyDescent="0.25">
      <c r="B90" s="252"/>
      <c r="C90" s="252"/>
      <c r="D90" s="253"/>
      <c r="E90" s="252"/>
      <c r="F90" s="253"/>
      <c r="G90" s="252"/>
      <c r="H90" s="252"/>
      <c r="I90" s="253"/>
      <c r="J90" s="252"/>
      <c r="K90" s="253"/>
      <c r="L90" s="252"/>
      <c r="M90" s="252"/>
      <c r="N90" s="253"/>
    </row>
    <row r="91" spans="2:14" ht="16.5" hidden="1" customHeight="1" x14ac:dyDescent="0.25">
      <c r="B91" s="252"/>
      <c r="C91" s="252"/>
      <c r="D91" s="253"/>
      <c r="E91" s="252"/>
      <c r="F91" s="253"/>
      <c r="G91" s="252"/>
      <c r="H91" s="252"/>
      <c r="I91" s="253"/>
      <c r="J91" s="252"/>
      <c r="K91" s="253"/>
      <c r="L91" s="252"/>
      <c r="M91" s="252"/>
      <c r="N91" s="253"/>
    </row>
    <row r="92" spans="2:14" ht="16.5" hidden="1" customHeight="1" x14ac:dyDescent="0.25">
      <c r="B92" s="252"/>
      <c r="C92" s="252"/>
      <c r="D92" s="253"/>
      <c r="E92" s="252"/>
      <c r="F92" s="253"/>
      <c r="G92" s="252"/>
      <c r="H92" s="252"/>
      <c r="I92" s="253"/>
      <c r="J92" s="252"/>
      <c r="K92" s="253"/>
      <c r="L92" s="252"/>
      <c r="M92" s="252"/>
      <c r="N92" s="253"/>
    </row>
    <row r="93" spans="2:14" ht="16.5" hidden="1" customHeight="1" x14ac:dyDescent="0.25">
      <c r="B93" s="252"/>
      <c r="C93" s="252"/>
      <c r="D93" s="253"/>
      <c r="E93" s="252"/>
      <c r="F93" s="253"/>
      <c r="G93" s="252"/>
      <c r="H93" s="252"/>
      <c r="I93" s="253"/>
      <c r="J93" s="252"/>
      <c r="K93" s="253"/>
      <c r="L93" s="252"/>
      <c r="M93" s="252"/>
      <c r="N93" s="253"/>
    </row>
    <row r="94" spans="2:14" ht="16.5" hidden="1" customHeight="1" x14ac:dyDescent="0.25">
      <c r="B94" s="252"/>
      <c r="C94" s="252"/>
      <c r="D94" s="253"/>
      <c r="E94" s="252"/>
      <c r="F94" s="253"/>
      <c r="G94" s="252"/>
      <c r="H94" s="252"/>
      <c r="I94" s="253"/>
      <c r="J94" s="252"/>
      <c r="K94" s="253"/>
      <c r="L94" s="252"/>
      <c r="M94" s="252"/>
      <c r="N94" s="253"/>
    </row>
    <row r="95" spans="2:14" ht="16.5" hidden="1" customHeight="1" x14ac:dyDescent="0.25">
      <c r="B95" s="252"/>
      <c r="C95" s="252"/>
      <c r="D95" s="253"/>
      <c r="E95" s="252"/>
      <c r="F95" s="253"/>
      <c r="G95" s="252"/>
      <c r="H95" s="252"/>
      <c r="I95" s="253"/>
      <c r="J95" s="252"/>
      <c r="K95" s="253"/>
      <c r="L95" s="252"/>
      <c r="M95" s="252"/>
      <c r="N95" s="253"/>
    </row>
    <row r="96" spans="2:14" ht="16.5" hidden="1" customHeight="1" x14ac:dyDescent="0.25">
      <c r="B96" s="252"/>
      <c r="C96" s="252"/>
      <c r="D96" s="253"/>
      <c r="E96" s="252"/>
      <c r="F96" s="253"/>
      <c r="G96" s="252"/>
      <c r="H96" s="252"/>
      <c r="I96" s="253"/>
      <c r="J96" s="252"/>
      <c r="K96" s="253"/>
      <c r="L96" s="252"/>
      <c r="M96" s="252"/>
      <c r="N96" s="253"/>
    </row>
    <row r="97" spans="2:14" ht="5.5" hidden="1" customHeight="1" x14ac:dyDescent="0.25">
      <c r="B97" s="252"/>
      <c r="C97" s="252"/>
      <c r="D97" s="253"/>
      <c r="E97" s="252"/>
      <c r="F97" s="253"/>
      <c r="G97" s="252"/>
      <c r="H97" s="252"/>
      <c r="I97" s="253"/>
      <c r="J97" s="252"/>
      <c r="K97" s="253"/>
      <c r="L97" s="252"/>
      <c r="M97" s="252"/>
      <c r="N97" s="253"/>
    </row>
    <row r="98" spans="2:14" ht="16.5" hidden="1" customHeight="1" x14ac:dyDescent="0.25">
      <c r="B98" s="252"/>
      <c r="C98" s="252"/>
      <c r="D98" s="253"/>
      <c r="E98" s="252"/>
      <c r="F98" s="253"/>
      <c r="G98" s="252"/>
      <c r="H98" s="252"/>
      <c r="I98" s="253"/>
      <c r="J98" s="252"/>
      <c r="K98" s="253"/>
      <c r="L98" s="252"/>
      <c r="M98" s="252"/>
      <c r="N98" s="253"/>
    </row>
    <row r="99" spans="2:14" ht="16.5" hidden="1" customHeight="1" x14ac:dyDescent="0.25">
      <c r="B99" s="252"/>
      <c r="C99" s="252"/>
      <c r="D99" s="253"/>
      <c r="E99" s="252"/>
      <c r="F99" s="253"/>
      <c r="G99" s="252"/>
      <c r="H99" s="252"/>
      <c r="I99" s="253"/>
      <c r="J99" s="252"/>
      <c r="K99" s="253"/>
      <c r="L99" s="252"/>
      <c r="M99" s="252"/>
      <c r="N99" s="253"/>
    </row>
    <row r="100" spans="2:14" ht="16.5" hidden="1" customHeight="1" x14ac:dyDescent="0.25">
      <c r="B100" s="252"/>
      <c r="C100" s="252"/>
      <c r="D100" s="253"/>
      <c r="E100" s="252"/>
      <c r="F100" s="253"/>
      <c r="G100" s="252"/>
      <c r="H100" s="252"/>
      <c r="I100" s="253"/>
      <c r="J100" s="252"/>
      <c r="K100" s="253"/>
      <c r="L100" s="252"/>
      <c r="M100" s="252"/>
      <c r="N100" s="253"/>
    </row>
    <row r="101" spans="2:14" ht="16.5" hidden="1" customHeight="1" x14ac:dyDescent="0.25">
      <c r="B101" s="252"/>
      <c r="C101" s="252"/>
      <c r="D101" s="253"/>
      <c r="E101" s="252"/>
      <c r="F101" s="253"/>
      <c r="G101" s="252"/>
      <c r="H101" s="252"/>
      <c r="I101" s="253"/>
      <c r="J101" s="252"/>
      <c r="K101" s="253"/>
      <c r="L101" s="252"/>
      <c r="M101" s="252"/>
      <c r="N101" s="253"/>
    </row>
    <row r="102" spans="2:14" ht="0" hidden="1" customHeight="1" x14ac:dyDescent="0.25">
      <c r="D102" s="253"/>
      <c r="E102" s="252"/>
      <c r="F102" s="253"/>
      <c r="G102" s="252"/>
      <c r="H102" s="252"/>
      <c r="I102" s="253"/>
      <c r="J102" s="252"/>
      <c r="K102" s="253"/>
      <c r="L102" s="252"/>
      <c r="M102" s="252"/>
      <c r="N102" s="253"/>
    </row>
  </sheetData>
  <sheetProtection algorithmName="SHA-512" hashValue="P9tJ0Vi/PFFUjgfpxX5W1IAMN8fanYWbIwVprg4ohLj0UmOC9/hJdHxHXQPFR74up0jpS1oqCaRrjpui3KoR0A==" saltValue="IAdDzbnw9Ub7duZjsNVDDw==" spinCount="100000" sheet="1" objects="1" scenarios="1"/>
  <protectedRanges>
    <protectedRange sqref="F32" name="Seleccion Sello"/>
    <protectedRange sqref="F29" name="Seleccion Color"/>
    <protectedRange sqref="H18:L18" name="Especificaciones iniciales"/>
    <protectedRange sqref="B44:F44" name="Hoja Tecnicas 1"/>
    <protectedRange sqref="B46:E46" name="Hojas Tecnicas 2"/>
    <protectedRange sqref="B48:E48" name="Hojas Tecnicas 3"/>
    <protectedRange sqref="H44:M44" name="Tabla Resistencia"/>
    <protectedRange sqref="H46:M46" name="Guia Para Instalacion"/>
    <protectedRange sqref="H48:L48" name="Detalles Constructivos"/>
  </protectedRanges>
  <mergeCells count="34">
    <mergeCell ref="H28:I28"/>
    <mergeCell ref="H29:I29"/>
    <mergeCell ref="E30:N30"/>
    <mergeCell ref="E31:N31"/>
    <mergeCell ref="K27:K29"/>
    <mergeCell ref="L27:L29"/>
    <mergeCell ref="B37:O38"/>
    <mergeCell ref="B39:N39"/>
    <mergeCell ref="B40:N40"/>
    <mergeCell ref="K32:K33"/>
    <mergeCell ref="L32:L33"/>
    <mergeCell ref="H33:I33"/>
    <mergeCell ref="G21:I21"/>
    <mergeCell ref="J21:K21"/>
    <mergeCell ref="M21:N21"/>
    <mergeCell ref="D20:N20"/>
    <mergeCell ref="E22:N22"/>
    <mergeCell ref="D22:D33"/>
    <mergeCell ref="H23:I23"/>
    <mergeCell ref="L23:L24"/>
    <mergeCell ref="H24:I24"/>
    <mergeCell ref="E25:N25"/>
    <mergeCell ref="E27:E28"/>
    <mergeCell ref="H27:I27"/>
    <mergeCell ref="J27:J29"/>
    <mergeCell ref="H32:I32"/>
    <mergeCell ref="J32:J33"/>
    <mergeCell ref="E26:N26"/>
    <mergeCell ref="B3:F3"/>
    <mergeCell ref="G3:J3"/>
    <mergeCell ref="K3:N3"/>
    <mergeCell ref="H15:I15"/>
    <mergeCell ref="H19:I19"/>
    <mergeCell ref="H16:N16"/>
  </mergeCells>
  <dataValidations count="1">
    <dataValidation type="decimal" allowBlank="1" showInputMessage="1" showErrorMessage="1" error="Se recomiendan radios de curvatura de mínmo 2,5 cm y máximo 7,0 cm" prompt="Se recomiendan radios de curvatura de minmo 2,5 cm y maximo 7,0 cm" sqref="K18" xr:uid="{00000000-0002-0000-0700-000000000000}">
      <formula1>2</formula1>
      <formula2>6</formula2>
    </dataValidation>
  </dataValidations>
  <hyperlinks>
    <hyperlink ref="B48" r:id="rId1" xr:uid="{00000000-0004-0000-0700-000000000000}"/>
    <hyperlink ref="H44" r:id="rId2" xr:uid="{00000000-0004-0000-0700-000001000000}"/>
    <hyperlink ref="H48" r:id="rId3" xr:uid="{00000000-0004-0000-0700-000002000000}"/>
    <hyperlink ref="B44" r:id="rId4" xr:uid="{00000000-0004-0000-0700-000003000000}"/>
  </hyperlinks>
  <printOptions horizontalCentered="1"/>
  <pageMargins left="0.70866141732283472" right="0.70866141732283472" top="0.74803149606299213" bottom="0.74803149606299213" header="0.31496062992125984" footer="0.31496062992125984"/>
  <pageSetup scale="35" orientation="portrait" r:id="rId5"/>
  <drawing r:id="rId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1000000}">
          <x14:formula1>
            <xm:f>DATA!$C$4:$C$10</xm:f>
          </x14:formula1>
          <xm:sqref>F29</xm:sqref>
        </x14:dataValidation>
        <x14:dataValidation type="list" allowBlank="1" showInputMessage="1" showErrorMessage="1" xr:uid="{00000000-0002-0000-0700-000002000000}">
          <x14:formula1>
            <xm:f>DATA!$C$43:$C$48</xm:f>
          </x14:formula1>
          <xm:sqref>F32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P52"/>
  <sheetViews>
    <sheetView showGridLines="0" showRowColHeaders="0" view="pageBreakPreview" topLeftCell="A15" zoomScale="60" zoomScaleNormal="60" workbookViewId="0">
      <selection activeCell="E26" sqref="E26"/>
    </sheetView>
  </sheetViews>
  <sheetFormatPr baseColWidth="10" defaultColWidth="11.453125" defaultRowHeight="13.5" x14ac:dyDescent="0.25"/>
  <cols>
    <col min="1" max="1" width="3.81640625" style="250" customWidth="1"/>
    <col min="2" max="2" width="13.90625" style="250" customWidth="1"/>
    <col min="3" max="3" width="21.81640625" style="257" customWidth="1"/>
    <col min="4" max="4" width="25.6328125" style="250" customWidth="1"/>
    <col min="5" max="5" width="36.1796875" style="257" customWidth="1"/>
    <col min="6" max="6" width="19.08984375" style="257" customWidth="1"/>
    <col min="7" max="7" width="24.6328125" style="250" customWidth="1"/>
    <col min="8" max="8" width="7.1796875" style="257" bestFit="1" customWidth="1"/>
    <col min="9" max="9" width="14.1796875" style="257" customWidth="1"/>
    <col min="10" max="10" width="15.54296875" style="250" customWidth="1"/>
    <col min="11" max="11" width="15.6328125" style="250" customWidth="1"/>
    <col min="12" max="12" width="21.1796875" style="257" customWidth="1"/>
    <col min="13" max="13" width="22.08984375" style="257" bestFit="1" customWidth="1"/>
    <col min="14" max="14" width="18.1796875" style="257" customWidth="1"/>
    <col min="15" max="15" width="11.453125" style="250"/>
    <col min="16" max="16" width="11.453125" style="343"/>
    <col min="17" max="16384" width="11.453125" style="250"/>
  </cols>
  <sheetData>
    <row r="1" spans="2:14" ht="16.399999999999999" customHeight="1" x14ac:dyDescent="0.25">
      <c r="B1" s="246"/>
      <c r="C1" s="247"/>
      <c r="D1" s="248"/>
      <c r="E1" s="247"/>
      <c r="F1" s="247"/>
      <c r="G1" s="248"/>
      <c r="H1" s="247"/>
      <c r="I1" s="247"/>
      <c r="J1" s="248"/>
      <c r="K1" s="248"/>
      <c r="L1" s="247"/>
      <c r="M1" s="247"/>
      <c r="N1" s="249"/>
    </row>
    <row r="2" spans="2:14" ht="129" customHeight="1" x14ac:dyDescent="0.25">
      <c r="B2" s="633"/>
      <c r="C2" s="634"/>
      <c r="D2" s="576"/>
      <c r="E2" s="635"/>
      <c r="F2" s="635"/>
      <c r="G2" s="635"/>
      <c r="H2" s="635"/>
      <c r="I2" s="635"/>
      <c r="J2" s="635"/>
      <c r="K2" s="635"/>
      <c r="L2" s="635"/>
      <c r="M2" s="635"/>
      <c r="N2" s="636"/>
    </row>
    <row r="3" spans="2:14" ht="21" customHeight="1" x14ac:dyDescent="0.25">
      <c r="B3" s="381"/>
      <c r="C3" s="387"/>
      <c r="D3" s="387"/>
      <c r="E3" s="388"/>
      <c r="F3" s="388"/>
      <c r="G3" s="388"/>
      <c r="H3" s="388"/>
      <c r="I3" s="388"/>
      <c r="J3" s="388"/>
      <c r="K3" s="388"/>
      <c r="L3" s="388"/>
      <c r="M3" s="388"/>
      <c r="N3" s="389"/>
    </row>
    <row r="4" spans="2:14" ht="18.75" customHeight="1" x14ac:dyDescent="0.25">
      <c r="B4" s="255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273"/>
    </row>
    <row r="5" spans="2:14" ht="16.5" customHeight="1" x14ac:dyDescent="0.25">
      <c r="B5" s="255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273"/>
    </row>
    <row r="6" spans="2:14" ht="16.5" customHeight="1" x14ac:dyDescent="0.25">
      <c r="B6" s="255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273"/>
    </row>
    <row r="7" spans="2:14" ht="16.5" customHeight="1" x14ac:dyDescent="0.25">
      <c r="B7" s="255"/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273"/>
    </row>
    <row r="8" spans="2:14" ht="16.5" customHeight="1" x14ac:dyDescent="0.25">
      <c r="B8" s="255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273"/>
    </row>
    <row r="9" spans="2:14" ht="8.15" customHeight="1" x14ac:dyDescent="0.25">
      <c r="B9" s="255"/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273"/>
    </row>
    <row r="10" spans="2:14" ht="16.399999999999999" customHeight="1" x14ac:dyDescent="0.25">
      <c r="B10" s="255"/>
      <c r="C10" s="329"/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273"/>
    </row>
    <row r="11" spans="2:14" ht="103.5" customHeight="1" thickBot="1" x14ac:dyDescent="0.3">
      <c r="B11" s="255"/>
      <c r="C11" s="329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30"/>
    </row>
    <row r="12" spans="2:14" ht="20" customHeight="1" x14ac:dyDescent="0.25">
      <c r="B12" s="255"/>
      <c r="C12" s="329"/>
      <c r="D12" s="329"/>
      <c r="E12" s="329"/>
      <c r="F12" s="329"/>
      <c r="G12" s="331"/>
      <c r="H12" s="331"/>
      <c r="I12" s="608" t="s">
        <v>246</v>
      </c>
      <c r="J12" s="609"/>
      <c r="K12" s="609"/>
      <c r="L12" s="609"/>
      <c r="M12" s="610"/>
      <c r="N12" s="330"/>
    </row>
    <row r="13" spans="2:14" ht="40" customHeight="1" x14ac:dyDescent="0.25">
      <c r="B13" s="255"/>
      <c r="C13" s="329"/>
      <c r="D13" s="329"/>
      <c r="E13" s="329"/>
      <c r="F13" s="329"/>
      <c r="G13" s="331"/>
      <c r="H13" s="331"/>
      <c r="I13" s="302" t="s">
        <v>247</v>
      </c>
      <c r="J13" s="293" t="s">
        <v>248</v>
      </c>
      <c r="K13" s="293" t="s">
        <v>249</v>
      </c>
      <c r="L13" s="293" t="s">
        <v>251</v>
      </c>
      <c r="M13" s="303" t="s">
        <v>252</v>
      </c>
      <c r="N13" s="330"/>
    </row>
    <row r="14" spans="2:14" ht="40" customHeight="1" thickBot="1" x14ac:dyDescent="0.3">
      <c r="B14" s="255"/>
      <c r="C14" s="329"/>
      <c r="D14" s="329"/>
      <c r="E14" s="329"/>
      <c r="F14" s="329"/>
      <c r="G14" s="329"/>
      <c r="H14" s="331"/>
      <c r="I14" s="299">
        <v>5</v>
      </c>
      <c r="J14" s="300">
        <v>10</v>
      </c>
      <c r="K14" s="300">
        <v>10</v>
      </c>
      <c r="L14" s="300">
        <v>100</v>
      </c>
      <c r="M14" s="274">
        <f>PI()/4*I14/10*((((J14^2+K14^2)/2)^0.5)+(((J14-I14/10)^2+(K14-I14/10)^2)/2)^0.5)</f>
        <v>7.6576320931251205</v>
      </c>
      <c r="N14" s="273"/>
    </row>
    <row r="15" spans="2:14" ht="40" customHeight="1" x14ac:dyDescent="0.25">
      <c r="B15" s="275"/>
      <c r="C15" s="332"/>
      <c r="D15" s="333"/>
      <c r="E15" s="332"/>
      <c r="F15" s="332"/>
      <c r="G15" s="333"/>
      <c r="H15" s="332"/>
      <c r="I15" s="332"/>
      <c r="J15" s="333"/>
      <c r="K15" s="333"/>
      <c r="L15" s="332"/>
      <c r="M15" s="334"/>
      <c r="N15" s="273"/>
    </row>
    <row r="16" spans="2:14" ht="48.5" customHeight="1" thickBot="1" x14ac:dyDescent="0.3">
      <c r="B16" s="275"/>
      <c r="C16" s="332"/>
      <c r="D16" s="333"/>
      <c r="E16" s="332"/>
      <c r="F16" s="332"/>
      <c r="G16" s="333"/>
      <c r="H16" s="332"/>
      <c r="I16" s="332"/>
      <c r="J16" s="333"/>
      <c r="K16" s="333"/>
      <c r="L16" s="332"/>
      <c r="M16" s="334"/>
      <c r="N16" s="273"/>
    </row>
    <row r="17" spans="2:15" ht="25" customHeight="1" thickBot="1" x14ac:dyDescent="0.3">
      <c r="B17" s="416"/>
      <c r="C17" s="619" t="s">
        <v>284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1"/>
      <c r="N17" s="417"/>
      <c r="O17" s="329"/>
    </row>
    <row r="18" spans="2:15" ht="58.4" customHeight="1" thickBot="1" x14ac:dyDescent="0.3">
      <c r="B18" s="416"/>
      <c r="C18" s="391" t="s">
        <v>254</v>
      </c>
      <c r="D18" s="305" t="s">
        <v>278</v>
      </c>
      <c r="E18" s="386" t="s">
        <v>0</v>
      </c>
      <c r="F18" s="631" t="s">
        <v>3</v>
      </c>
      <c r="G18" s="631"/>
      <c r="H18" s="631" t="s">
        <v>1</v>
      </c>
      <c r="I18" s="631"/>
      <c r="J18" s="631"/>
      <c r="K18" s="386" t="s">
        <v>279</v>
      </c>
      <c r="L18" s="631" t="s">
        <v>4</v>
      </c>
      <c r="M18" s="632"/>
      <c r="N18" s="417"/>
      <c r="O18" s="329"/>
    </row>
    <row r="19" spans="2:15" ht="20" customHeight="1" x14ac:dyDescent="0.25">
      <c r="B19" s="416"/>
      <c r="C19" s="583" t="s">
        <v>283</v>
      </c>
      <c r="D19" s="622" t="s">
        <v>259</v>
      </c>
      <c r="E19" s="623"/>
      <c r="F19" s="623"/>
      <c r="G19" s="623"/>
      <c r="H19" s="623"/>
      <c r="I19" s="623"/>
      <c r="J19" s="623"/>
      <c r="K19" s="623"/>
      <c r="L19" s="623"/>
      <c r="M19" s="624"/>
      <c r="N19" s="417"/>
      <c r="O19" s="329"/>
    </row>
    <row r="20" spans="2:15" ht="17.5" x14ac:dyDescent="0.35">
      <c r="B20" s="416"/>
      <c r="C20" s="584"/>
      <c r="D20" s="425">
        <v>4016</v>
      </c>
      <c r="E20" s="306" t="s">
        <v>285</v>
      </c>
      <c r="F20" s="384">
        <v>1</v>
      </c>
      <c r="G20" s="585" t="s">
        <v>288</v>
      </c>
      <c r="H20" s="585"/>
      <c r="I20" s="383">
        <v>0.27300000000000002</v>
      </c>
      <c r="J20" s="383" t="s">
        <v>293</v>
      </c>
      <c r="K20" s="586">
        <f>(PI()/2*(((J14^2+K14^2)/2)^0.5))/100*L14</f>
        <v>15.707963267948966</v>
      </c>
      <c r="L20" s="308">
        <f>ROUNDUP((($K$20*$I$20)/(3*3.785))*1.05,0)</f>
        <v>1</v>
      </c>
      <c r="M20" s="418" t="str">
        <f>G20</f>
        <v>Unidad x 3 Galones</v>
      </c>
      <c r="N20" s="417"/>
      <c r="O20" s="329"/>
    </row>
    <row r="21" spans="2:15" ht="18" thickBot="1" x14ac:dyDescent="0.35">
      <c r="B21" s="416"/>
      <c r="C21" s="584"/>
      <c r="D21" s="426">
        <v>2014</v>
      </c>
      <c r="E21" s="420" t="s">
        <v>261</v>
      </c>
      <c r="F21" s="421">
        <v>1</v>
      </c>
      <c r="G21" s="588" t="s">
        <v>17</v>
      </c>
      <c r="H21" s="588"/>
      <c r="I21" s="422">
        <v>0.15</v>
      </c>
      <c r="J21" s="422" t="s">
        <v>260</v>
      </c>
      <c r="K21" s="587"/>
      <c r="L21" s="427">
        <f>ROUNDUP((($K$20*$I$21)/30)*1.05,0)</f>
        <v>1</v>
      </c>
      <c r="M21" s="428" t="s">
        <v>17</v>
      </c>
      <c r="N21" s="417"/>
      <c r="O21" s="329"/>
    </row>
    <row r="22" spans="2:15" ht="18" thickBot="1" x14ac:dyDescent="0.3">
      <c r="B22" s="416"/>
      <c r="C22" s="584"/>
      <c r="D22" s="625"/>
      <c r="E22" s="626"/>
      <c r="F22" s="626"/>
      <c r="G22" s="626"/>
      <c r="H22" s="626"/>
      <c r="I22" s="626"/>
      <c r="J22" s="626"/>
      <c r="K22" s="626"/>
      <c r="L22" s="626"/>
      <c r="M22" s="627"/>
      <c r="N22" s="417"/>
      <c r="O22" s="329"/>
    </row>
    <row r="23" spans="2:15" ht="22.5" customHeight="1" x14ac:dyDescent="0.25">
      <c r="B23" s="416"/>
      <c r="C23" s="584"/>
      <c r="D23" s="599" t="s">
        <v>292</v>
      </c>
      <c r="E23" s="600"/>
      <c r="F23" s="600"/>
      <c r="G23" s="600"/>
      <c r="H23" s="600"/>
      <c r="I23" s="600"/>
      <c r="J23" s="600"/>
      <c r="K23" s="600"/>
      <c r="L23" s="600"/>
      <c r="M23" s="601"/>
      <c r="N23" s="417"/>
      <c r="O23" s="329"/>
    </row>
    <row r="24" spans="2:15" ht="19.5" customHeight="1" x14ac:dyDescent="0.35">
      <c r="B24" s="416"/>
      <c r="C24" s="584"/>
      <c r="D24" s="640">
        <v>7939</v>
      </c>
      <c r="E24" s="306" t="s">
        <v>286</v>
      </c>
      <c r="F24" s="383">
        <v>1</v>
      </c>
      <c r="G24" s="383" t="s">
        <v>289</v>
      </c>
      <c r="H24" s="597" t="s">
        <v>280</v>
      </c>
      <c r="I24" s="597">
        <v>10</v>
      </c>
      <c r="J24" s="597" t="s">
        <v>281</v>
      </c>
      <c r="K24" s="638">
        <f>M14/10000*1000*L14</f>
        <v>76.576320931251203</v>
      </c>
      <c r="L24" s="309">
        <f>ROUNDUP((K24/I24)*1.05,0)</f>
        <v>9</v>
      </c>
      <c r="M24" s="410" t="s">
        <v>289</v>
      </c>
      <c r="N24" s="417"/>
      <c r="O24" s="329"/>
    </row>
    <row r="25" spans="2:15" ht="19.5" customHeight="1" x14ac:dyDescent="0.35">
      <c r="B25" s="416"/>
      <c r="C25" s="584"/>
      <c r="D25" s="641"/>
      <c r="E25" s="306" t="s">
        <v>287</v>
      </c>
      <c r="F25" s="383">
        <v>2</v>
      </c>
      <c r="G25" s="383" t="s">
        <v>290</v>
      </c>
      <c r="H25" s="597"/>
      <c r="I25" s="597"/>
      <c r="J25" s="597"/>
      <c r="K25" s="638"/>
      <c r="L25" s="309">
        <f>+L24*F26</f>
        <v>18</v>
      </c>
      <c r="M25" s="410" t="s">
        <v>290</v>
      </c>
      <c r="N25" s="417"/>
      <c r="O25" s="329"/>
    </row>
    <row r="26" spans="2:15" ht="26" customHeight="1" thickBot="1" x14ac:dyDescent="0.4">
      <c r="B26" s="416"/>
      <c r="C26" s="584"/>
      <c r="D26" s="426">
        <f>VLOOKUP(E26,DATA!C4:F10,2,0)</f>
        <v>5830</v>
      </c>
      <c r="E26" s="429" t="s">
        <v>318</v>
      </c>
      <c r="F26" s="422">
        <v>2</v>
      </c>
      <c r="G26" s="422" t="s">
        <v>244</v>
      </c>
      <c r="H26" s="598"/>
      <c r="I26" s="598"/>
      <c r="J26" s="598"/>
      <c r="K26" s="639"/>
      <c r="L26" s="430">
        <f>L24*F26</f>
        <v>18</v>
      </c>
      <c r="M26" s="431" t="str">
        <f>G26</f>
        <v>Unidad x 0,45 Kg</v>
      </c>
      <c r="N26" s="417"/>
      <c r="O26" s="329"/>
    </row>
    <row r="27" spans="2:15" ht="26" customHeight="1" thickBot="1" x14ac:dyDescent="0.3">
      <c r="B27" s="416"/>
      <c r="C27" s="584"/>
      <c r="D27" s="628"/>
      <c r="E27" s="629"/>
      <c r="F27" s="629"/>
      <c r="G27" s="629"/>
      <c r="H27" s="629"/>
      <c r="I27" s="629"/>
      <c r="J27" s="629"/>
      <c r="K27" s="629"/>
      <c r="L27" s="629"/>
      <c r="M27" s="630"/>
      <c r="N27" s="417"/>
      <c r="O27" s="329"/>
    </row>
    <row r="28" spans="2:15" ht="22" customHeight="1" x14ac:dyDescent="0.25">
      <c r="B28" s="416"/>
      <c r="C28" s="584"/>
      <c r="D28" s="614" t="s">
        <v>263</v>
      </c>
      <c r="E28" s="615"/>
      <c r="F28" s="615"/>
      <c r="G28" s="615"/>
      <c r="H28" s="615"/>
      <c r="I28" s="615"/>
      <c r="J28" s="615"/>
      <c r="K28" s="615"/>
      <c r="L28" s="615"/>
      <c r="M28" s="616"/>
      <c r="N28" s="417"/>
      <c r="O28" s="329"/>
    </row>
    <row r="29" spans="2:15" ht="30" customHeight="1" x14ac:dyDescent="0.25">
      <c r="B29" s="416"/>
      <c r="C29" s="584"/>
      <c r="D29" s="425">
        <f>VLOOKUP(E29,DATA!C43:I48,2,0)</f>
        <v>4531</v>
      </c>
      <c r="E29" s="310" t="s">
        <v>236</v>
      </c>
      <c r="F29" s="384">
        <v>1</v>
      </c>
      <c r="G29" s="384" t="str">
        <f>VLOOKUP(E29,[1]DATA!B46:H52,4,0)</f>
        <v>Unid x 3 Gal</v>
      </c>
      <c r="H29" s="597" t="s">
        <v>282</v>
      </c>
      <c r="I29" s="597">
        <f>VLOOKUP(E29,DATA!C43:I48,5,0)</f>
        <v>22</v>
      </c>
      <c r="J29" s="597" t="s">
        <v>264</v>
      </c>
      <c r="K29" s="586">
        <f>(PI()/2*((((J14)^2+(K14)^2)/2)^0.5))/100*L14</f>
        <v>15.707963267948966</v>
      </c>
      <c r="L29" s="307">
        <f>ROUNDUP(((K29/I29))*1.05,0)</f>
        <v>1</v>
      </c>
      <c r="M29" s="419" t="str">
        <f>G29</f>
        <v>Unid x 3 Gal</v>
      </c>
      <c r="N29" s="417"/>
      <c r="O29" s="329"/>
    </row>
    <row r="30" spans="2:15" ht="17.5" customHeight="1" thickBot="1" x14ac:dyDescent="0.3">
      <c r="B30" s="416"/>
      <c r="C30" s="637"/>
      <c r="D30" s="426">
        <f>D26</f>
        <v>5830</v>
      </c>
      <c r="E30" s="420" t="str">
        <f>E26</f>
        <v>FLOWFRESH PIG. BLUE-100</v>
      </c>
      <c r="F30" s="421">
        <f>VLOOKUP(E29,DATA!C43:I48,7,0)</f>
        <v>0</v>
      </c>
      <c r="G30" s="422" t="s">
        <v>244</v>
      </c>
      <c r="H30" s="598"/>
      <c r="I30" s="598"/>
      <c r="J30" s="598"/>
      <c r="K30" s="587"/>
      <c r="L30" s="423">
        <f>L29*F30</f>
        <v>0</v>
      </c>
      <c r="M30" s="424" t="s">
        <v>245</v>
      </c>
      <c r="N30" s="417"/>
      <c r="O30" s="329"/>
    </row>
    <row r="31" spans="2:15" ht="17.149999999999999" customHeight="1" x14ac:dyDescent="0.25">
      <c r="B31" s="251"/>
      <c r="C31" s="335"/>
      <c r="D31" s="336"/>
      <c r="E31" s="335"/>
      <c r="F31" s="335"/>
      <c r="G31" s="336"/>
      <c r="H31" s="335"/>
      <c r="I31" s="335"/>
      <c r="J31" s="336"/>
      <c r="K31" s="336"/>
      <c r="L31" s="335"/>
      <c r="M31" s="334"/>
      <c r="N31" s="273"/>
    </row>
    <row r="32" spans="2:15" ht="16" customHeight="1" x14ac:dyDescent="0.25">
      <c r="B32" s="251"/>
      <c r="C32" s="335"/>
      <c r="D32" s="336"/>
      <c r="E32" s="335"/>
      <c r="F32" s="335"/>
      <c r="G32" s="336"/>
      <c r="H32" s="335"/>
      <c r="I32" s="335"/>
      <c r="J32" s="336"/>
      <c r="K32" s="336"/>
      <c r="L32" s="335"/>
      <c r="M32" s="335"/>
      <c r="N32" s="254"/>
    </row>
    <row r="33" spans="2:14" ht="18" customHeight="1" x14ac:dyDescent="0.25">
      <c r="B33" s="642"/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254"/>
    </row>
    <row r="34" spans="2:14" ht="18" customHeight="1" x14ac:dyDescent="0.25">
      <c r="B34" s="642"/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254"/>
    </row>
    <row r="35" spans="2:14" ht="18" customHeight="1" x14ac:dyDescent="0.25">
      <c r="B35" s="263" t="s">
        <v>266</v>
      </c>
      <c r="C35" s="337"/>
      <c r="D35" s="337"/>
      <c r="E35" s="337"/>
      <c r="F35" s="337"/>
      <c r="G35" s="337"/>
      <c r="H35" s="337"/>
      <c r="I35" s="337"/>
      <c r="J35" s="337"/>
      <c r="K35" s="337"/>
      <c r="L35" s="337"/>
      <c r="M35" s="337"/>
      <c r="N35" s="289"/>
    </row>
    <row r="36" spans="2:14" ht="13.5" customHeight="1" x14ac:dyDescent="0.25">
      <c r="B36" s="602" t="s">
        <v>29</v>
      </c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4"/>
    </row>
    <row r="37" spans="2:14" ht="18" customHeight="1" x14ac:dyDescent="0.25">
      <c r="B37" s="602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4"/>
    </row>
    <row r="38" spans="2:14" ht="18" customHeight="1" x14ac:dyDescent="0.25">
      <c r="B38" s="605" t="s">
        <v>267</v>
      </c>
      <c r="C38" s="606"/>
      <c r="D38" s="606"/>
      <c r="E38" s="606"/>
      <c r="F38" s="606"/>
      <c r="G38" s="606"/>
      <c r="H38" s="606"/>
      <c r="I38" s="606"/>
      <c r="J38" s="606"/>
      <c r="K38" s="606"/>
      <c r="L38" s="606"/>
      <c r="M38" s="606"/>
      <c r="N38" s="643"/>
    </row>
    <row r="39" spans="2:14" ht="18" customHeight="1" x14ac:dyDescent="0.25">
      <c r="B39" s="602" t="s">
        <v>30</v>
      </c>
      <c r="C39" s="603"/>
      <c r="D39" s="603"/>
      <c r="E39" s="603"/>
      <c r="F39" s="603"/>
      <c r="G39" s="603"/>
      <c r="H39" s="603"/>
      <c r="I39" s="603"/>
      <c r="J39" s="603"/>
      <c r="K39" s="603"/>
      <c r="L39" s="603"/>
      <c r="M39" s="603"/>
      <c r="N39" s="604"/>
    </row>
    <row r="40" spans="2:14" ht="18" customHeight="1" x14ac:dyDescent="0.25">
      <c r="B40" s="364" t="s">
        <v>317</v>
      </c>
      <c r="C40" s="390"/>
      <c r="D40" s="390"/>
      <c r="E40" s="390"/>
      <c r="F40" s="390"/>
      <c r="G40" s="390"/>
      <c r="H40" s="390"/>
      <c r="I40" s="390"/>
      <c r="J40" s="390"/>
      <c r="K40" s="390"/>
      <c r="L40" s="390"/>
      <c r="M40" s="390"/>
      <c r="N40" s="385"/>
    </row>
    <row r="41" spans="2:14" ht="18" customHeight="1" x14ac:dyDescent="0.25">
      <c r="B41" s="256"/>
      <c r="C41" s="338"/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267"/>
    </row>
    <row r="42" spans="2:14" ht="20.5" customHeight="1" x14ac:dyDescent="0.35">
      <c r="B42" s="265" t="s">
        <v>296</v>
      </c>
      <c r="C42" s="339"/>
      <c r="D42" s="335"/>
      <c r="E42" s="266"/>
      <c r="F42" s="340"/>
      <c r="G42" s="340"/>
      <c r="H42" s="341" t="s">
        <v>171</v>
      </c>
      <c r="I42" s="340"/>
      <c r="J42" s="340"/>
      <c r="K42" s="340"/>
      <c r="L42" s="340"/>
      <c r="M42" s="340"/>
      <c r="N42" s="290"/>
    </row>
    <row r="43" spans="2:14" ht="14.5" x14ac:dyDescent="0.35">
      <c r="B43" s="27" t="s">
        <v>269</v>
      </c>
      <c r="C43" s="338"/>
      <c r="D43" s="338"/>
      <c r="E43" s="338"/>
      <c r="F43" s="338"/>
      <c r="G43" s="338"/>
      <c r="H43" s="134" t="s">
        <v>270</v>
      </c>
      <c r="I43" s="338"/>
      <c r="J43" s="338"/>
      <c r="K43" s="338"/>
      <c r="L43" s="338"/>
      <c r="M43" s="338"/>
      <c r="N43" s="267"/>
    </row>
    <row r="44" spans="2:14" ht="13.5" customHeight="1" x14ac:dyDescent="0.3">
      <c r="B44" s="265" t="s">
        <v>271</v>
      </c>
      <c r="C44" s="338"/>
      <c r="D44" s="338"/>
      <c r="E44" s="338"/>
      <c r="F44" s="338"/>
      <c r="G44" s="338"/>
      <c r="H44" s="341" t="s">
        <v>272</v>
      </c>
      <c r="I44" s="338"/>
      <c r="J44" s="338"/>
      <c r="K44" s="338"/>
      <c r="L44" s="338"/>
      <c r="M44" s="338"/>
      <c r="N44" s="267"/>
    </row>
    <row r="45" spans="2:14" ht="14.5" x14ac:dyDescent="0.35">
      <c r="B45" s="27" t="s">
        <v>273</v>
      </c>
      <c r="C45" s="338"/>
      <c r="D45" s="338"/>
      <c r="E45" s="338"/>
      <c r="F45" s="338"/>
      <c r="G45" s="338"/>
      <c r="H45" s="134" t="s">
        <v>274</v>
      </c>
      <c r="I45" s="338"/>
      <c r="J45" s="338"/>
      <c r="K45" s="338"/>
      <c r="L45" s="338"/>
      <c r="M45" s="338"/>
      <c r="N45" s="267"/>
    </row>
    <row r="46" spans="2:14" ht="14" x14ac:dyDescent="0.3">
      <c r="B46" s="265" t="s">
        <v>275</v>
      </c>
      <c r="C46" s="338"/>
      <c r="D46" s="338"/>
      <c r="E46" s="338"/>
      <c r="F46" s="338"/>
      <c r="G46" s="338"/>
      <c r="H46" s="342" t="s">
        <v>175</v>
      </c>
      <c r="I46" s="338"/>
      <c r="J46" s="338"/>
      <c r="K46" s="338"/>
      <c r="L46" s="338"/>
      <c r="M46" s="338"/>
      <c r="N46" s="267"/>
    </row>
    <row r="47" spans="2:14" ht="14.5" x14ac:dyDescent="0.35">
      <c r="B47" s="27" t="s">
        <v>276</v>
      </c>
      <c r="C47" s="338"/>
      <c r="D47" s="338"/>
      <c r="E47" s="338"/>
      <c r="F47" s="338"/>
      <c r="G47" s="338"/>
      <c r="H47" s="136" t="s">
        <v>277</v>
      </c>
      <c r="I47" s="338"/>
      <c r="J47" s="338"/>
      <c r="K47" s="338"/>
      <c r="L47" s="338"/>
      <c r="M47" s="338"/>
      <c r="N47" s="267"/>
    </row>
    <row r="48" spans="2:14" ht="14" x14ac:dyDescent="0.25">
      <c r="B48" s="264"/>
      <c r="C48" s="338"/>
      <c r="D48" s="338"/>
      <c r="E48" s="338"/>
      <c r="F48" s="338"/>
      <c r="G48" s="338"/>
      <c r="H48" s="338"/>
      <c r="I48" s="338"/>
      <c r="J48" s="338"/>
      <c r="K48" s="338"/>
      <c r="L48" s="338"/>
      <c r="M48" s="338"/>
      <c r="N48" s="267"/>
    </row>
    <row r="49" spans="2:14" x14ac:dyDescent="0.25">
      <c r="B49" s="256"/>
      <c r="C49" s="343"/>
      <c r="D49" s="335"/>
      <c r="E49" s="336"/>
      <c r="F49" s="335"/>
      <c r="G49" s="335"/>
      <c r="H49" s="336"/>
      <c r="I49" s="335"/>
      <c r="J49" s="335"/>
      <c r="K49" s="335"/>
      <c r="L49" s="335"/>
      <c r="M49" s="335"/>
      <c r="N49" s="254"/>
    </row>
    <row r="50" spans="2:14" x14ac:dyDescent="0.25">
      <c r="B50" s="256"/>
      <c r="C50" s="343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254"/>
    </row>
    <row r="51" spans="2:14" x14ac:dyDescent="0.25">
      <c r="B51" s="256"/>
      <c r="C51" s="335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254"/>
    </row>
    <row r="52" spans="2:14" ht="14" thickBot="1" x14ac:dyDescent="0.3">
      <c r="B52" s="291"/>
      <c r="C52" s="270"/>
      <c r="D52" s="270"/>
      <c r="E52" s="270"/>
      <c r="F52" s="270"/>
      <c r="G52" s="270"/>
      <c r="H52" s="270"/>
      <c r="I52" s="270"/>
      <c r="J52" s="270"/>
      <c r="K52" s="270"/>
      <c r="L52" s="270"/>
      <c r="M52" s="270"/>
      <c r="N52" s="292"/>
    </row>
  </sheetData>
  <sheetProtection algorithmName="SHA-512" hashValue="dq5N1zG6ndCzIL4PVl9SWxUyp8n9JBWqocnos/vnom3vYxERkfZvC56fnAixl9brpi+ZrZxPAOdPzLW9YuN9vQ==" saltValue="5UZM2DtN3UeG1flwsJtCpw==" spinCount="100000" sheet="1" objects="1" scenarios="1"/>
  <protectedRanges>
    <protectedRange sqref="H47:L47" name="Detalles Constructivos"/>
    <protectedRange sqref="H45:M45" name="Guia instalacion"/>
    <protectedRange sqref="H43:L43" name="Resistencias Quimicas"/>
    <protectedRange sqref="B47:F47" name="Hoja Tecnica 3"/>
    <protectedRange sqref="B45:D45" name="Hoja Tecnica 2"/>
    <protectedRange sqref="B43:F43" name="Hojas Tecnicas 1"/>
    <protectedRange sqref="E30" name="Seleccion Color Sello"/>
    <protectedRange sqref="E29" name="Seleccion Sello"/>
    <protectedRange sqref="E26:E27" name="Seleccion color Pigmento Mortero"/>
    <protectedRange sqref="I14:L14" name="Especificaciones iniciales"/>
  </protectedRanges>
  <mergeCells count="29">
    <mergeCell ref="B39:N39"/>
    <mergeCell ref="I12:M12"/>
    <mergeCell ref="G20:H20"/>
    <mergeCell ref="G21:H21"/>
    <mergeCell ref="B33:B34"/>
    <mergeCell ref="B36:N37"/>
    <mergeCell ref="B38:N38"/>
    <mergeCell ref="B2:D2"/>
    <mergeCell ref="E2:N2"/>
    <mergeCell ref="C19:C30"/>
    <mergeCell ref="K20:K21"/>
    <mergeCell ref="H24:H26"/>
    <mergeCell ref="I24:I26"/>
    <mergeCell ref="J24:J26"/>
    <mergeCell ref="K24:K26"/>
    <mergeCell ref="D28:M28"/>
    <mergeCell ref="H29:H30"/>
    <mergeCell ref="I29:I30"/>
    <mergeCell ref="J29:J30"/>
    <mergeCell ref="K29:K30"/>
    <mergeCell ref="D24:D25"/>
    <mergeCell ref="C17:M17"/>
    <mergeCell ref="D19:M19"/>
    <mergeCell ref="D22:M22"/>
    <mergeCell ref="D23:M23"/>
    <mergeCell ref="D27:M27"/>
    <mergeCell ref="F18:G18"/>
    <mergeCell ref="H18:J18"/>
    <mergeCell ref="L18:M18"/>
  </mergeCells>
  <hyperlinks>
    <hyperlink ref="B47" r:id="rId1" xr:uid="{00000000-0004-0000-0800-000000000000}"/>
    <hyperlink ref="H43" r:id="rId2" xr:uid="{00000000-0004-0000-0800-000001000000}"/>
    <hyperlink ref="H47" r:id="rId3" xr:uid="{00000000-0004-0000-0800-000002000000}"/>
    <hyperlink ref="B43" r:id="rId4" xr:uid="{00000000-0004-0000-0800-000003000000}"/>
  </hyperlinks>
  <pageMargins left="0.70866141732283472" right="0.70866141732283472" top="0.74803149606299213" bottom="0.74803149606299213" header="0.31496062992125984" footer="0.31496062992125984"/>
  <pageSetup scale="35" orientation="portrait" horizontalDpi="300" verticalDpi="300" r:id="rId5"/>
  <drawing r:id="rId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DATA!$C$4:$C$10</xm:f>
          </x14:formula1>
          <xm:sqref>E26</xm:sqref>
        </x14:dataValidation>
        <x14:dataValidation type="list" allowBlank="1" showInputMessage="1" showErrorMessage="1" xr:uid="{00000000-0002-0000-0800-000001000000}">
          <x14:formula1>
            <xm:f>DATA!$C$43:$C$48</xm:f>
          </x14:formula1>
          <xm:sqref>E29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P55"/>
  <sheetViews>
    <sheetView showGridLines="0" showRowColHeaders="0" tabSelected="1" view="pageBreakPreview" topLeftCell="A16" zoomScale="70" zoomScaleNormal="60" zoomScaleSheetLayoutView="70" workbookViewId="0">
      <selection activeCell="E26" sqref="E26"/>
    </sheetView>
  </sheetViews>
  <sheetFormatPr baseColWidth="10" defaultColWidth="11.453125" defaultRowHeight="13.5" x14ac:dyDescent="0.25"/>
  <cols>
    <col min="1" max="1" width="3.453125" style="250" customWidth="1"/>
    <col min="2" max="2" width="13.1796875" style="250" customWidth="1"/>
    <col min="3" max="3" width="22.08984375" style="257" customWidth="1"/>
    <col min="4" max="4" width="25" style="250" customWidth="1"/>
    <col min="5" max="5" width="33.36328125" style="257" customWidth="1"/>
    <col min="6" max="6" width="15.36328125" style="257" customWidth="1"/>
    <col min="7" max="7" width="20.54296875" style="250" customWidth="1"/>
    <col min="8" max="8" width="7.1796875" style="257" bestFit="1" customWidth="1"/>
    <col min="9" max="9" width="10.54296875" style="257" customWidth="1"/>
    <col min="10" max="10" width="15.36328125" style="250" customWidth="1"/>
    <col min="11" max="11" width="11.1796875" style="250" customWidth="1"/>
    <col min="12" max="12" width="23" style="257" customWidth="1"/>
    <col min="13" max="13" width="19.36328125" style="257" customWidth="1"/>
    <col min="14" max="14" width="18.08984375" style="257" customWidth="1"/>
    <col min="15" max="15" width="11.453125" style="250"/>
    <col min="16" max="16" width="11.453125" style="343"/>
    <col min="17" max="16384" width="11.453125" style="250"/>
  </cols>
  <sheetData>
    <row r="1" spans="2:15" ht="16.399999999999999" customHeight="1" x14ac:dyDescent="0.25">
      <c r="B1" s="246"/>
      <c r="C1" s="247"/>
      <c r="D1" s="248"/>
      <c r="E1" s="247"/>
      <c r="F1" s="247"/>
      <c r="G1" s="248"/>
      <c r="H1" s="247"/>
      <c r="I1" s="247"/>
      <c r="J1" s="248"/>
      <c r="K1" s="248"/>
      <c r="L1" s="247"/>
      <c r="M1" s="247"/>
      <c r="N1" s="249"/>
    </row>
    <row r="2" spans="2:15" ht="129" customHeight="1" x14ac:dyDescent="0.25">
      <c r="B2" s="633"/>
      <c r="C2" s="634"/>
      <c r="D2" s="576"/>
      <c r="E2" s="635"/>
      <c r="F2" s="635"/>
      <c r="G2" s="635"/>
      <c r="H2" s="635"/>
      <c r="I2" s="635"/>
      <c r="J2" s="635"/>
      <c r="K2" s="635"/>
      <c r="L2" s="635"/>
      <c r="M2" s="635"/>
      <c r="N2" s="636"/>
    </row>
    <row r="3" spans="2:15" ht="21" customHeight="1" x14ac:dyDescent="0.25">
      <c r="B3" s="381"/>
      <c r="C3" s="387"/>
      <c r="D3" s="387"/>
      <c r="E3" s="388"/>
      <c r="F3" s="388"/>
      <c r="G3" s="388"/>
      <c r="H3" s="388"/>
      <c r="I3" s="388"/>
      <c r="J3" s="388"/>
      <c r="K3" s="388"/>
      <c r="L3" s="388"/>
      <c r="M3" s="388"/>
      <c r="N3" s="389"/>
    </row>
    <row r="4" spans="2:15" ht="18.75" customHeight="1" x14ac:dyDescent="0.25">
      <c r="B4" s="255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273"/>
    </row>
    <row r="5" spans="2:15" ht="16.5" customHeight="1" x14ac:dyDescent="0.25">
      <c r="B5" s="255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273"/>
    </row>
    <row r="6" spans="2:15" ht="16.5" customHeight="1" x14ac:dyDescent="0.25">
      <c r="B6" s="255"/>
      <c r="C6" s="329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273"/>
    </row>
    <row r="7" spans="2:15" ht="8.15" customHeight="1" x14ac:dyDescent="0.25">
      <c r="B7" s="255"/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273"/>
    </row>
    <row r="8" spans="2:15" ht="16.399999999999999" customHeight="1" x14ac:dyDescent="0.25">
      <c r="B8" s="255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273"/>
    </row>
    <row r="9" spans="2:15" ht="98.5" customHeight="1" thickBot="1" x14ac:dyDescent="0.3">
      <c r="B9" s="255"/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273"/>
    </row>
    <row r="10" spans="2:15" ht="20" customHeight="1" x14ac:dyDescent="0.25">
      <c r="B10" s="255"/>
      <c r="C10" s="329"/>
      <c r="D10" s="329"/>
      <c r="E10" s="329"/>
      <c r="F10" s="329"/>
      <c r="G10" s="331"/>
      <c r="H10" s="331"/>
      <c r="I10" s="608" t="s">
        <v>246</v>
      </c>
      <c r="J10" s="609"/>
      <c r="K10" s="609"/>
      <c r="L10" s="609"/>
      <c r="M10" s="610"/>
      <c r="N10" s="273"/>
    </row>
    <row r="11" spans="2:15" ht="40" customHeight="1" thickBot="1" x14ac:dyDescent="0.3">
      <c r="B11" s="255"/>
      <c r="C11" s="329"/>
      <c r="D11" s="329"/>
      <c r="E11" s="329"/>
      <c r="F11" s="329"/>
      <c r="G11" s="331"/>
      <c r="H11" s="331"/>
      <c r="I11" s="302" t="s">
        <v>247</v>
      </c>
      <c r="J11" s="293" t="s">
        <v>248</v>
      </c>
      <c r="K11" s="293" t="s">
        <v>249</v>
      </c>
      <c r="L11" s="293" t="s">
        <v>251</v>
      </c>
      <c r="M11" s="303" t="s">
        <v>252</v>
      </c>
      <c r="N11" s="273"/>
    </row>
    <row r="12" spans="2:15" ht="40" customHeight="1" thickBot="1" x14ac:dyDescent="0.3">
      <c r="B12" s="255"/>
      <c r="C12" s="329"/>
      <c r="D12" s="329"/>
      <c r="E12" s="329"/>
      <c r="F12" s="329"/>
      <c r="G12" s="329"/>
      <c r="H12" s="331"/>
      <c r="I12" s="305">
        <v>5</v>
      </c>
      <c r="J12" s="386">
        <v>10</v>
      </c>
      <c r="K12" s="386">
        <v>10</v>
      </c>
      <c r="L12" s="386">
        <v>100</v>
      </c>
      <c r="M12" s="313">
        <f>(J12+K12)*I12/10</f>
        <v>10</v>
      </c>
      <c r="N12" s="273"/>
    </row>
    <row r="13" spans="2:15" ht="40" customHeight="1" thickBot="1" x14ac:dyDescent="0.3">
      <c r="B13" s="275"/>
      <c r="C13" s="332"/>
      <c r="D13" s="333"/>
      <c r="E13" s="332"/>
      <c r="F13" s="332"/>
      <c r="G13" s="333"/>
      <c r="H13" s="332"/>
      <c r="I13" s="332"/>
      <c r="J13" s="333"/>
      <c r="K13" s="333"/>
      <c r="L13" s="332"/>
      <c r="M13" s="332"/>
      <c r="N13" s="273"/>
    </row>
    <row r="14" spans="2:15" ht="21.5" customHeight="1" thickBot="1" x14ac:dyDescent="0.3">
      <c r="B14" s="416"/>
      <c r="C14" s="644" t="s">
        <v>284</v>
      </c>
      <c r="D14" s="645"/>
      <c r="E14" s="645"/>
      <c r="F14" s="645"/>
      <c r="G14" s="645"/>
      <c r="H14" s="645"/>
      <c r="I14" s="645"/>
      <c r="J14" s="645"/>
      <c r="K14" s="645"/>
      <c r="L14" s="645"/>
      <c r="M14" s="645"/>
      <c r="N14" s="330"/>
      <c r="O14" s="329"/>
    </row>
    <row r="15" spans="2:15" ht="58.4" customHeight="1" thickBot="1" x14ac:dyDescent="0.3">
      <c r="B15" s="416"/>
      <c r="C15" s="305" t="s">
        <v>254</v>
      </c>
      <c r="D15" s="386" t="s">
        <v>278</v>
      </c>
      <c r="E15" s="386" t="s">
        <v>0</v>
      </c>
      <c r="F15" s="631" t="s">
        <v>3</v>
      </c>
      <c r="G15" s="631"/>
      <c r="H15" s="631" t="s">
        <v>1</v>
      </c>
      <c r="I15" s="631"/>
      <c r="J15" s="631"/>
      <c r="K15" s="386" t="s">
        <v>279</v>
      </c>
      <c r="L15" s="631" t="s">
        <v>4</v>
      </c>
      <c r="M15" s="631"/>
      <c r="N15" s="330"/>
      <c r="O15" s="329"/>
    </row>
    <row r="16" spans="2:15" ht="20" customHeight="1" x14ac:dyDescent="0.25">
      <c r="B16" s="416"/>
      <c r="C16" s="583" t="s">
        <v>283</v>
      </c>
      <c r="D16" s="434" t="s">
        <v>259</v>
      </c>
      <c r="E16" s="435"/>
      <c r="F16" s="435"/>
      <c r="G16" s="435"/>
      <c r="H16" s="435"/>
      <c r="I16" s="435"/>
      <c r="J16" s="435"/>
      <c r="K16" s="435"/>
      <c r="L16" s="435"/>
      <c r="M16" s="436"/>
      <c r="N16" s="330"/>
      <c r="O16" s="329"/>
    </row>
    <row r="17" spans="2:15" ht="17" customHeight="1" x14ac:dyDescent="0.25">
      <c r="B17" s="416"/>
      <c r="C17" s="584"/>
      <c r="D17" s="425">
        <v>4016</v>
      </c>
      <c r="E17" s="306" t="s">
        <v>285</v>
      </c>
      <c r="F17" s="384">
        <v>1</v>
      </c>
      <c r="G17" s="585" t="s">
        <v>288</v>
      </c>
      <c r="H17" s="585"/>
      <c r="I17" s="383">
        <v>0.27300000000000002</v>
      </c>
      <c r="J17" s="276" t="s">
        <v>294</v>
      </c>
      <c r="K17" s="647">
        <f>(J12+K12)/100*L12</f>
        <v>20</v>
      </c>
      <c r="L17" s="277">
        <f>ROUNDUP((($K$17*$I$17)/(3*3.785))*1.05,0)</f>
        <v>1</v>
      </c>
      <c r="M17" s="437" t="str">
        <f>G17</f>
        <v>Unidad x 3 Galones</v>
      </c>
      <c r="N17" s="330"/>
      <c r="O17" s="329"/>
    </row>
    <row r="18" spans="2:15" ht="18" customHeight="1" thickBot="1" x14ac:dyDescent="0.3">
      <c r="B18" s="416"/>
      <c r="C18" s="584"/>
      <c r="D18" s="426">
        <v>2014</v>
      </c>
      <c r="E18" s="420" t="s">
        <v>261</v>
      </c>
      <c r="F18" s="421">
        <v>1</v>
      </c>
      <c r="G18" s="588" t="s">
        <v>17</v>
      </c>
      <c r="H18" s="588"/>
      <c r="I18" s="422">
        <v>0.15</v>
      </c>
      <c r="J18" s="444" t="s">
        <v>295</v>
      </c>
      <c r="K18" s="648"/>
      <c r="L18" s="447">
        <f>ROUNDUP((($K$17*$I$18)/30)*1.05,0)</f>
        <v>1</v>
      </c>
      <c r="M18" s="448" t="s">
        <v>17</v>
      </c>
      <c r="N18" s="330"/>
      <c r="O18" s="329"/>
    </row>
    <row r="19" spans="2:15" ht="14" customHeight="1" thickBot="1" x14ac:dyDescent="0.3">
      <c r="B19" s="416"/>
      <c r="C19" s="584"/>
      <c r="D19" s="278"/>
      <c r="E19" s="279"/>
      <c r="F19" s="280"/>
      <c r="G19" s="280"/>
      <c r="H19" s="280"/>
      <c r="I19" s="281"/>
      <c r="J19" s="280"/>
      <c r="K19" s="282"/>
      <c r="L19" s="392"/>
      <c r="M19" s="438"/>
      <c r="N19" s="330"/>
      <c r="O19" s="329"/>
    </row>
    <row r="20" spans="2:15" ht="22.5" customHeight="1" x14ac:dyDescent="0.25">
      <c r="B20" s="416"/>
      <c r="C20" s="646"/>
      <c r="D20" s="599" t="s">
        <v>292</v>
      </c>
      <c r="E20" s="600"/>
      <c r="F20" s="600"/>
      <c r="G20" s="600"/>
      <c r="H20" s="600"/>
      <c r="I20" s="600"/>
      <c r="J20" s="600"/>
      <c r="K20" s="600"/>
      <c r="L20" s="600"/>
      <c r="M20" s="601"/>
      <c r="N20" s="330"/>
      <c r="O20" s="329"/>
    </row>
    <row r="21" spans="2:15" ht="18" customHeight="1" x14ac:dyDescent="0.25">
      <c r="B21" s="416"/>
      <c r="C21" s="646"/>
      <c r="D21" s="661">
        <v>7939</v>
      </c>
      <c r="E21" s="306" t="s">
        <v>286</v>
      </c>
      <c r="F21" s="276">
        <v>1</v>
      </c>
      <c r="G21" s="276" t="s">
        <v>289</v>
      </c>
      <c r="H21" s="649" t="s">
        <v>280</v>
      </c>
      <c r="I21" s="597">
        <v>10</v>
      </c>
      <c r="J21" s="597" t="s">
        <v>262</v>
      </c>
      <c r="K21" s="651">
        <f>M12/10000*1000*L12</f>
        <v>100</v>
      </c>
      <c r="L21" s="283">
        <f>ROUNDUP((K21/I21)*1.05,0)</f>
        <v>11</v>
      </c>
      <c r="M21" s="439" t="s">
        <v>289</v>
      </c>
      <c r="N21" s="330"/>
      <c r="O21" s="329"/>
    </row>
    <row r="22" spans="2:15" ht="17" customHeight="1" x14ac:dyDescent="0.25">
      <c r="B22" s="416"/>
      <c r="C22" s="646"/>
      <c r="D22" s="662"/>
      <c r="E22" s="306" t="s">
        <v>287</v>
      </c>
      <c r="F22" s="276">
        <v>2</v>
      </c>
      <c r="G22" s="276" t="s">
        <v>290</v>
      </c>
      <c r="H22" s="649"/>
      <c r="I22" s="597"/>
      <c r="J22" s="597"/>
      <c r="K22" s="651"/>
      <c r="L22" s="283">
        <f>+L21*F22</f>
        <v>22</v>
      </c>
      <c r="M22" s="439" t="s">
        <v>290</v>
      </c>
      <c r="N22" s="330"/>
      <c r="O22" s="329"/>
    </row>
    <row r="23" spans="2:15" ht="20.5" customHeight="1" thickBot="1" x14ac:dyDescent="0.3">
      <c r="B23" s="416"/>
      <c r="C23" s="646"/>
      <c r="D23" s="449">
        <f>VLOOKUP(E23,DATA!C4:F10,2,0)</f>
        <v>5830</v>
      </c>
      <c r="E23" s="450" t="s">
        <v>318</v>
      </c>
      <c r="F23" s="444">
        <v>2</v>
      </c>
      <c r="G23" s="444" t="s">
        <v>245</v>
      </c>
      <c r="H23" s="650"/>
      <c r="I23" s="598"/>
      <c r="J23" s="598"/>
      <c r="K23" s="652"/>
      <c r="L23" s="451">
        <f>L21*F23</f>
        <v>22</v>
      </c>
      <c r="M23" s="452" t="str">
        <f>G23</f>
        <v>Unidades x 0,45 Kg</v>
      </c>
      <c r="N23" s="330"/>
      <c r="O23" s="329"/>
    </row>
    <row r="24" spans="2:15" ht="19.5" customHeight="1" thickBot="1" x14ac:dyDescent="0.3">
      <c r="B24" s="416"/>
      <c r="C24" s="584"/>
      <c r="D24" s="284"/>
      <c r="E24" s="285"/>
      <c r="F24" s="285"/>
      <c r="G24" s="285"/>
      <c r="H24" s="284"/>
      <c r="I24" s="284"/>
      <c r="J24" s="284"/>
      <c r="K24" s="286"/>
      <c r="L24" s="287"/>
      <c r="M24" s="440"/>
      <c r="N24" s="330"/>
      <c r="O24" s="329"/>
    </row>
    <row r="25" spans="2:15" ht="22" customHeight="1" x14ac:dyDescent="0.25">
      <c r="B25" s="416"/>
      <c r="C25" s="584"/>
      <c r="D25" s="653" t="s">
        <v>263</v>
      </c>
      <c r="E25" s="654"/>
      <c r="F25" s="655"/>
      <c r="G25" s="655"/>
      <c r="H25" s="655"/>
      <c r="I25" s="655"/>
      <c r="J25" s="655"/>
      <c r="K25" s="655"/>
      <c r="L25" s="655"/>
      <c r="M25" s="656"/>
      <c r="N25" s="330"/>
      <c r="O25" s="329"/>
    </row>
    <row r="26" spans="2:15" ht="26.5" customHeight="1" x14ac:dyDescent="0.25">
      <c r="B26" s="416"/>
      <c r="C26" s="584"/>
      <c r="D26" s="259">
        <f>VLOOKUP(E26,DATA!C43:I48,2,0)</f>
        <v>7899</v>
      </c>
      <c r="E26" s="304" t="s">
        <v>48</v>
      </c>
      <c r="F26" s="393">
        <v>1</v>
      </c>
      <c r="G26" s="393" t="str">
        <f>VLOOKUP(E26,DATA!C43:I48,4,0)</f>
        <v>Kit x  23,8 Lb</v>
      </c>
      <c r="H26" s="657" t="s">
        <v>282</v>
      </c>
      <c r="I26" s="659">
        <f>VLOOKUP(E26,DATA!C43:I48,5,0)</f>
        <v>27</v>
      </c>
      <c r="J26" s="659" t="s">
        <v>264</v>
      </c>
      <c r="K26" s="647">
        <f>(J12+K12)/100*L12</f>
        <v>20</v>
      </c>
      <c r="L26" s="260">
        <f>ROUNDUP(((K26/I26))*1.05,0)</f>
        <v>1</v>
      </c>
      <c r="M26" s="441" t="str">
        <f>G26</f>
        <v>Kit x  23,8 Lb</v>
      </c>
      <c r="N26" s="330"/>
      <c r="O26" s="329"/>
    </row>
    <row r="27" spans="2:15" ht="20" customHeight="1" thickBot="1" x14ac:dyDescent="0.3">
      <c r="B27" s="416"/>
      <c r="C27" s="637"/>
      <c r="D27" s="449">
        <f>D23</f>
        <v>5830</v>
      </c>
      <c r="E27" s="442" t="str">
        <f>E23</f>
        <v>FLOWFRESH PIG. BLUE-100</v>
      </c>
      <c r="F27" s="443">
        <f>VLOOKUP(E26,DATA!C43:I48,7,0)</f>
        <v>1</v>
      </c>
      <c r="G27" s="444" t="s">
        <v>245</v>
      </c>
      <c r="H27" s="658"/>
      <c r="I27" s="660"/>
      <c r="J27" s="660"/>
      <c r="K27" s="648"/>
      <c r="L27" s="445">
        <f>L26*F27</f>
        <v>1</v>
      </c>
      <c r="M27" s="446" t="str">
        <f>G27</f>
        <v>Unidades x 0,45 Kg</v>
      </c>
      <c r="N27" s="330"/>
      <c r="O27" s="329"/>
    </row>
    <row r="28" spans="2:15" ht="17.149999999999999" customHeight="1" x14ac:dyDescent="0.25">
      <c r="B28" s="251"/>
      <c r="C28" s="335"/>
      <c r="D28" s="336"/>
      <c r="E28" s="335"/>
      <c r="F28" s="335"/>
      <c r="G28" s="336"/>
      <c r="H28" s="335"/>
      <c r="I28" s="335"/>
      <c r="J28" s="336"/>
      <c r="K28" s="336"/>
      <c r="L28" s="335"/>
      <c r="M28" s="332"/>
      <c r="N28" s="273"/>
    </row>
    <row r="29" spans="2:15" ht="17.149999999999999" customHeight="1" x14ac:dyDescent="0.25">
      <c r="B29" s="251"/>
      <c r="C29" s="335"/>
      <c r="D29" s="336"/>
      <c r="E29" s="335"/>
      <c r="F29" s="335"/>
      <c r="G29" s="336"/>
      <c r="H29" s="335"/>
      <c r="I29" s="335"/>
      <c r="J29" s="336"/>
      <c r="K29" s="336"/>
      <c r="L29" s="335"/>
      <c r="M29" s="335"/>
      <c r="N29" s="254"/>
    </row>
    <row r="30" spans="2:15" ht="17.149999999999999" customHeight="1" x14ac:dyDescent="0.25">
      <c r="B30" s="251"/>
      <c r="C30" s="335"/>
      <c r="D30" s="336"/>
      <c r="E30" s="335"/>
      <c r="F30" s="335"/>
      <c r="G30" s="336"/>
      <c r="H30" s="335"/>
      <c r="I30" s="335"/>
      <c r="J30" s="336"/>
      <c r="K30" s="336"/>
      <c r="L30" s="335"/>
      <c r="M30" s="335"/>
      <c r="N30" s="254"/>
    </row>
    <row r="31" spans="2:15" ht="18" customHeight="1" x14ac:dyDescent="0.25">
      <c r="B31" s="642"/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254"/>
    </row>
    <row r="32" spans="2:15" ht="18" customHeight="1" x14ac:dyDescent="0.25">
      <c r="B32" s="642"/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N32" s="254"/>
    </row>
    <row r="33" spans="2:14" ht="18" customHeight="1" x14ac:dyDescent="0.25">
      <c r="B33" s="263" t="s">
        <v>266</v>
      </c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289"/>
    </row>
    <row r="34" spans="2:14" x14ac:dyDescent="0.25">
      <c r="B34" s="602" t="s">
        <v>29</v>
      </c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4"/>
    </row>
    <row r="35" spans="2:14" ht="18" customHeight="1" x14ac:dyDescent="0.25">
      <c r="B35" s="602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4"/>
    </row>
    <row r="36" spans="2:14" ht="18" customHeight="1" x14ac:dyDescent="0.25">
      <c r="B36" s="605" t="s">
        <v>267</v>
      </c>
      <c r="C36" s="606"/>
      <c r="D36" s="606"/>
      <c r="E36" s="606"/>
      <c r="F36" s="606"/>
      <c r="G36" s="606"/>
      <c r="H36" s="606"/>
      <c r="I36" s="606"/>
      <c r="J36" s="606"/>
      <c r="K36" s="606"/>
      <c r="L36" s="606"/>
      <c r="M36" s="606"/>
      <c r="N36" s="643"/>
    </row>
    <row r="37" spans="2:14" ht="18" customHeight="1" x14ac:dyDescent="0.25">
      <c r="B37" s="602" t="s">
        <v>30</v>
      </c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4"/>
    </row>
    <row r="38" spans="2:14" ht="18" customHeight="1" x14ac:dyDescent="0.25">
      <c r="B38" s="364" t="s">
        <v>317</v>
      </c>
      <c r="C38" s="338"/>
      <c r="D38" s="338"/>
      <c r="E38" s="338"/>
      <c r="F38" s="338"/>
      <c r="G38" s="338"/>
      <c r="H38" s="338"/>
      <c r="I38" s="338"/>
      <c r="J38" s="338"/>
      <c r="K38" s="338"/>
      <c r="L38" s="338"/>
      <c r="M38" s="338"/>
      <c r="N38" s="267"/>
    </row>
    <row r="39" spans="2:14" ht="18" customHeight="1" x14ac:dyDescent="0.25">
      <c r="B39" s="364"/>
      <c r="C39" s="338"/>
      <c r="D39" s="338"/>
      <c r="E39" s="338"/>
      <c r="F39" s="338"/>
      <c r="G39" s="338"/>
      <c r="H39" s="338"/>
      <c r="I39" s="338"/>
      <c r="J39" s="338"/>
      <c r="K39" s="338"/>
      <c r="L39" s="338"/>
      <c r="M39" s="338"/>
      <c r="N39" s="267"/>
    </row>
    <row r="40" spans="2:14" ht="20.5" customHeight="1" x14ac:dyDescent="0.35">
      <c r="B40" s="265" t="s">
        <v>268</v>
      </c>
      <c r="C40" s="339"/>
      <c r="D40" s="335"/>
      <c r="E40" s="266"/>
      <c r="F40" s="340"/>
      <c r="G40" s="340"/>
      <c r="H40" s="341" t="s">
        <v>171</v>
      </c>
      <c r="I40" s="340"/>
      <c r="J40" s="340"/>
      <c r="K40" s="340"/>
      <c r="L40" s="340"/>
      <c r="M40" s="340"/>
      <c r="N40" s="290"/>
    </row>
    <row r="41" spans="2:14" ht="14.5" x14ac:dyDescent="0.35">
      <c r="B41" s="27" t="s">
        <v>269</v>
      </c>
      <c r="C41" s="338"/>
      <c r="D41" s="338"/>
      <c r="E41" s="338"/>
      <c r="F41" s="338"/>
      <c r="G41" s="338"/>
      <c r="H41" s="134" t="s">
        <v>270</v>
      </c>
      <c r="I41" s="338"/>
      <c r="J41" s="338"/>
      <c r="K41" s="338"/>
      <c r="L41" s="338"/>
      <c r="M41" s="338"/>
      <c r="N41" s="267"/>
    </row>
    <row r="42" spans="2:14" ht="13.5" customHeight="1" x14ac:dyDescent="0.3">
      <c r="B42" s="265" t="s">
        <v>271</v>
      </c>
      <c r="C42" s="338"/>
      <c r="D42" s="338"/>
      <c r="E42" s="338"/>
      <c r="F42" s="338"/>
      <c r="G42" s="338"/>
      <c r="H42" s="341" t="s">
        <v>272</v>
      </c>
      <c r="I42" s="338"/>
      <c r="J42" s="338"/>
      <c r="K42" s="338"/>
      <c r="L42" s="338"/>
      <c r="M42" s="338"/>
      <c r="N42" s="267"/>
    </row>
    <row r="43" spans="2:14" ht="14.5" x14ac:dyDescent="0.35">
      <c r="B43" s="27" t="s">
        <v>273</v>
      </c>
      <c r="C43" s="338"/>
      <c r="D43" s="338"/>
      <c r="E43" s="338"/>
      <c r="F43" s="338"/>
      <c r="G43" s="338"/>
      <c r="H43" s="134" t="s">
        <v>274</v>
      </c>
      <c r="I43" s="338"/>
      <c r="J43" s="338"/>
      <c r="K43" s="338"/>
      <c r="L43" s="338"/>
      <c r="M43" s="338"/>
      <c r="N43" s="267"/>
    </row>
    <row r="44" spans="2:14" ht="14" x14ac:dyDescent="0.3">
      <c r="B44" s="265" t="s">
        <v>275</v>
      </c>
      <c r="C44" s="338"/>
      <c r="D44" s="338"/>
      <c r="E44" s="338"/>
      <c r="F44" s="338"/>
      <c r="G44" s="338"/>
      <c r="H44" s="342" t="s">
        <v>175</v>
      </c>
      <c r="I44" s="338"/>
      <c r="J44" s="338"/>
      <c r="K44" s="338"/>
      <c r="L44" s="338"/>
      <c r="M44" s="338"/>
      <c r="N44" s="267"/>
    </row>
    <row r="45" spans="2:14" ht="14.5" x14ac:dyDescent="0.35">
      <c r="B45" s="27" t="s">
        <v>276</v>
      </c>
      <c r="C45" s="338"/>
      <c r="D45" s="338"/>
      <c r="E45" s="338"/>
      <c r="F45" s="338"/>
      <c r="G45" s="338"/>
      <c r="H45" s="136" t="s">
        <v>277</v>
      </c>
      <c r="I45" s="338"/>
      <c r="J45" s="338"/>
      <c r="K45" s="338"/>
      <c r="L45" s="338"/>
      <c r="M45" s="338"/>
      <c r="N45" s="267"/>
    </row>
    <row r="46" spans="2:14" ht="14" x14ac:dyDescent="0.25">
      <c r="B46" s="264"/>
      <c r="C46" s="338"/>
      <c r="D46" s="338"/>
      <c r="E46" s="338"/>
      <c r="F46" s="338"/>
      <c r="G46" s="338"/>
      <c r="H46" s="338"/>
      <c r="I46" s="338"/>
      <c r="J46" s="338"/>
      <c r="K46" s="338"/>
      <c r="L46" s="338"/>
      <c r="M46" s="338"/>
      <c r="N46" s="267"/>
    </row>
    <row r="47" spans="2:14" x14ac:dyDescent="0.25">
      <c r="B47" s="251"/>
      <c r="C47" s="336"/>
      <c r="D47" s="336"/>
      <c r="E47" s="336"/>
      <c r="F47" s="336"/>
      <c r="G47" s="336"/>
      <c r="H47" s="336"/>
      <c r="I47" s="336"/>
      <c r="J47" s="336"/>
      <c r="K47" s="336"/>
      <c r="L47" s="336"/>
      <c r="M47" s="336"/>
      <c r="N47" s="294"/>
    </row>
    <row r="48" spans="2:14" x14ac:dyDescent="0.25">
      <c r="B48" s="251"/>
      <c r="C48" s="336"/>
      <c r="D48" s="336"/>
      <c r="E48" s="336"/>
      <c r="F48" s="336"/>
      <c r="G48" s="336"/>
      <c r="H48" s="336"/>
      <c r="I48" s="336"/>
      <c r="J48" s="336"/>
      <c r="K48" s="336"/>
      <c r="L48" s="336"/>
      <c r="M48" s="336"/>
      <c r="N48" s="294"/>
    </row>
    <row r="49" spans="2:14" x14ac:dyDescent="0.25">
      <c r="B49" s="251"/>
      <c r="C49" s="336"/>
      <c r="D49" s="336"/>
      <c r="E49" s="336"/>
      <c r="F49" s="336"/>
      <c r="G49" s="336"/>
      <c r="H49" s="336"/>
      <c r="I49" s="336"/>
      <c r="J49" s="336"/>
      <c r="K49" s="336"/>
      <c r="L49" s="336"/>
      <c r="M49" s="336"/>
      <c r="N49" s="294"/>
    </row>
    <row r="50" spans="2:14" x14ac:dyDescent="0.25">
      <c r="B50" s="251"/>
      <c r="C50" s="336"/>
      <c r="D50" s="336"/>
      <c r="E50" s="336"/>
      <c r="F50" s="336"/>
      <c r="G50" s="336"/>
      <c r="H50" s="336"/>
      <c r="I50" s="336"/>
      <c r="J50" s="336"/>
      <c r="K50" s="336"/>
      <c r="L50" s="336"/>
      <c r="M50" s="336"/>
      <c r="N50" s="294"/>
    </row>
    <row r="51" spans="2:14" x14ac:dyDescent="0.25">
      <c r="B51" s="251"/>
      <c r="C51" s="336"/>
      <c r="D51" s="336"/>
      <c r="E51" s="336"/>
      <c r="F51" s="336"/>
      <c r="G51" s="336"/>
      <c r="H51" s="336"/>
      <c r="I51" s="336"/>
      <c r="J51" s="336"/>
      <c r="K51" s="336"/>
      <c r="L51" s="336"/>
      <c r="M51" s="336"/>
      <c r="N51" s="294"/>
    </row>
    <row r="52" spans="2:14" x14ac:dyDescent="0.25">
      <c r="B52" s="251"/>
      <c r="C52" s="336"/>
      <c r="D52" s="336"/>
      <c r="E52" s="336"/>
      <c r="F52" s="336"/>
      <c r="G52" s="336"/>
      <c r="H52" s="336"/>
      <c r="I52" s="336"/>
      <c r="J52" s="336"/>
      <c r="K52" s="336"/>
      <c r="L52" s="336"/>
      <c r="M52" s="336"/>
      <c r="N52" s="294"/>
    </row>
    <row r="53" spans="2:14" x14ac:dyDescent="0.25">
      <c r="B53" s="251"/>
      <c r="C53" s="336"/>
      <c r="D53" s="336"/>
      <c r="E53" s="336"/>
      <c r="F53" s="336"/>
      <c r="G53" s="336"/>
      <c r="H53" s="336"/>
      <c r="I53" s="336"/>
      <c r="J53" s="336"/>
      <c r="K53" s="336"/>
      <c r="L53" s="336"/>
      <c r="M53" s="336"/>
      <c r="N53" s="294"/>
    </row>
    <row r="54" spans="2:14" x14ac:dyDescent="0.25">
      <c r="B54" s="251"/>
      <c r="C54" s="336"/>
      <c r="D54" s="336"/>
      <c r="E54" s="336"/>
      <c r="F54" s="336"/>
      <c r="G54" s="336"/>
      <c r="H54" s="336"/>
      <c r="I54" s="336"/>
      <c r="J54" s="336"/>
      <c r="K54" s="336"/>
      <c r="L54" s="336"/>
      <c r="M54" s="336"/>
      <c r="N54" s="294"/>
    </row>
    <row r="55" spans="2:14" ht="14" thickBot="1" x14ac:dyDescent="0.3">
      <c r="B55" s="288"/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71"/>
      <c r="N55" s="295"/>
    </row>
  </sheetData>
  <sheetProtection algorithmName="SHA-512" hashValue="YIdaNOt9XEW0f7G+L8pY42etnle5ZX7a3k5SWdPBvPpkrrE7KKD0ocCF9V+8bjhiHRgbHW1+kTRlhk/c0j8hnQ==" saltValue="ctH2IaFp88K5G3LhIazSjQ==" spinCount="100000" sheet="1" objects="1" scenarios="1"/>
  <protectedRanges>
    <protectedRange sqref="H45:M45" name="Detalles Constructivos"/>
    <protectedRange sqref="H43:M43" name="Guia para la instalacion"/>
    <protectedRange sqref="H41:M41" name="Tabla Resistencias"/>
    <protectedRange sqref="B45:E45" name="Hoja Tecnica 3"/>
    <protectedRange sqref="B43:F43" name="Hoja Tecnica 2"/>
    <protectedRange sqref="B41:F41" name="Hoja Tecnica 1"/>
    <protectedRange sqref="E26" name="Seleccion Sello"/>
    <protectedRange sqref="E23" name="Seleccion Pigmento Mortero"/>
    <protectedRange sqref="I12:L12" name="Especificacion iniciales"/>
  </protectedRanges>
  <mergeCells count="26">
    <mergeCell ref="B37:N37"/>
    <mergeCell ref="I10:M10"/>
    <mergeCell ref="G17:H17"/>
    <mergeCell ref="G18:H18"/>
    <mergeCell ref="D21:D22"/>
    <mergeCell ref="B31:B32"/>
    <mergeCell ref="B34:N35"/>
    <mergeCell ref="B36:N36"/>
    <mergeCell ref="B2:D2"/>
    <mergeCell ref="E2:N2"/>
    <mergeCell ref="C16:C27"/>
    <mergeCell ref="K17:K18"/>
    <mergeCell ref="H21:H23"/>
    <mergeCell ref="I21:I23"/>
    <mergeCell ref="J21:J23"/>
    <mergeCell ref="K21:K23"/>
    <mergeCell ref="D25:M25"/>
    <mergeCell ref="H26:H27"/>
    <mergeCell ref="I26:I27"/>
    <mergeCell ref="J26:J27"/>
    <mergeCell ref="K26:K27"/>
    <mergeCell ref="C14:M14"/>
    <mergeCell ref="D20:M20"/>
    <mergeCell ref="F15:G15"/>
    <mergeCell ref="H15:J15"/>
    <mergeCell ref="L15:M15"/>
  </mergeCells>
  <hyperlinks>
    <hyperlink ref="B45" r:id="rId1" xr:uid="{00000000-0004-0000-0900-000000000000}"/>
    <hyperlink ref="H41" r:id="rId2" xr:uid="{00000000-0004-0000-0900-000001000000}"/>
    <hyperlink ref="H45" r:id="rId3" xr:uid="{00000000-0004-0000-0900-000002000000}"/>
    <hyperlink ref="B41" r:id="rId4" xr:uid="{00000000-0004-0000-0900-000003000000}"/>
  </hyperlinks>
  <pageMargins left="0.70866141732283472" right="0.70866141732283472" top="0.74803149606299213" bottom="0.74803149606299213" header="0.31496062992125984" footer="0.31496062992125984"/>
  <pageSetup scale="38" orientation="portrait" horizontalDpi="300" verticalDpi="300" r:id="rId5"/>
  <drawing r:id="rId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0000000}">
          <x14:formula1>
            <xm:f>DATA!$C$4:$C$10</xm:f>
          </x14:formula1>
          <xm:sqref>E23</xm:sqref>
        </x14:dataValidation>
        <x14:dataValidation type="list" allowBlank="1" showInputMessage="1" showErrorMessage="1" xr:uid="{00000000-0002-0000-0900-000001000000}">
          <x14:formula1>
            <xm:f>DATA!$C$43:$C$48</xm:f>
          </x14:formula1>
          <xm:sqref>E26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CODIGOS</vt:lpstr>
      <vt:lpstr>DATA</vt:lpstr>
      <vt:lpstr>Flowfresh Trafico Pesado</vt:lpstr>
      <vt:lpstr>Flowfresh Trafico Mediano</vt:lpstr>
      <vt:lpstr>Flowfresh Cove Completa</vt:lpstr>
      <vt:lpstr>Cove System Recubrimiento</vt:lpstr>
      <vt:lpstr>Cove System Bordillo</vt:lpstr>
      <vt:lpstr>'Cove System Bordillo'!Área_de_impresión</vt:lpstr>
      <vt:lpstr>'Cove System Recubrimiento'!Área_de_impresión</vt:lpstr>
      <vt:lpstr>'Flowfresh Cove Completa'!Área_de_impresión</vt:lpstr>
      <vt:lpstr>'Flowfresh Trafico Mediano'!Área_de_impresión</vt:lpstr>
      <vt:lpstr>'Flowfresh Trafico Pesado'!Área_de_impresión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Porras, Lizeth</cp:lastModifiedBy>
  <cp:lastPrinted>2021-08-30T13:25:08Z</cp:lastPrinted>
  <dcterms:created xsi:type="dcterms:W3CDTF">2012-12-14T12:51:59Z</dcterms:created>
  <dcterms:modified xsi:type="dcterms:W3CDTF">2021-09-01T13:05:35Z</dcterms:modified>
</cp:coreProperties>
</file>