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backup1\Documents\Mercadeo 2\Para enviar a la Web\"/>
    </mc:Choice>
  </mc:AlternateContent>
  <workbookProtection workbookAlgorithmName="SHA-512" workbookHashValue="LfOhZ1IgozbEJFuEGKLhVyckrj5tLhgoyxB85ZEKBC3tMD+7NX3idMDwT+4jBudHlqnqV3LuyR5e+wg8K5ieqw==" workbookSaltValue="8GNNa6VO0fDtRU3rAS/4ig==" workbookSpinCount="100000" lockStructure="1"/>
  <bookViews>
    <workbookView xWindow="20370" yWindow="-120" windowWidth="29040" windowHeight="15840"/>
  </bookViews>
  <sheets>
    <sheet name="REPARACIONES HORIZONTALES" sheetId="1" r:id="rId1"/>
    <sheet name="GUÍA DE SELECCIÓN" sheetId="5" r:id="rId2"/>
    <sheet name="LISTADO" sheetId="4" state="hidden" r:id="rId3"/>
  </sheets>
  <definedNames>
    <definedName name="_xlnm.Print_Area" localSheetId="1">'GUÍA DE SELECCIÓN'!$A$1:$N$27</definedName>
    <definedName name="_xlnm.Print_Area" localSheetId="0">'REPARACIONES HORIZONTALES'!$B$1:$J$33</definedName>
    <definedName name="ESTUFLEX" localSheetId="0">'REPARACIONES HORIZONTALES'!#REF!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F8" i="1"/>
  <c r="B1" i="4" l="1"/>
  <c r="A5" i="4" s="1"/>
  <c r="A11" i="4" l="1"/>
  <c r="A15" i="4" l="1"/>
  <c r="A22" i="4"/>
  <c r="A23" i="4"/>
  <c r="A13" i="4"/>
  <c r="A21" i="4"/>
  <c r="A12" i="4"/>
  <c r="A9" i="4"/>
  <c r="A16" i="4"/>
  <c r="A18" i="4"/>
  <c r="A20" i="4"/>
  <c r="A10" i="4"/>
  <c r="A17" i="4"/>
  <c r="A6" i="4"/>
  <c r="A19" i="4"/>
  <c r="A7" i="4"/>
  <c r="B16" i="1" s="1"/>
  <c r="E16" i="1" s="1"/>
  <c r="A14" i="4"/>
  <c r="A8" i="4"/>
  <c r="B17" i="1" l="1"/>
  <c r="F17" i="1" s="1"/>
  <c r="B21" i="1"/>
  <c r="F21" i="1" s="1"/>
  <c r="B25" i="1"/>
  <c r="F25" i="1" s="1"/>
  <c r="B22" i="1"/>
  <c r="E22" i="1" s="1"/>
  <c r="B19" i="1"/>
  <c r="D19" i="1" s="1"/>
  <c r="B23" i="1"/>
  <c r="D23" i="1" s="1"/>
  <c r="D22" i="1"/>
  <c r="B24" i="1"/>
  <c r="H24" i="1" s="1"/>
  <c r="J24" i="1" s="1"/>
  <c r="E25" i="1"/>
  <c r="I25" i="1"/>
  <c r="B18" i="1"/>
  <c r="I18" i="1" s="1"/>
  <c r="C25" i="1"/>
  <c r="E24" i="1"/>
  <c r="D25" i="1"/>
  <c r="B20" i="1"/>
  <c r="I20" i="1" s="1"/>
  <c r="B14" i="1"/>
  <c r="C14" i="1" s="1"/>
  <c r="B3" i="4"/>
  <c r="B15" i="1"/>
  <c r="H15" i="1" s="1"/>
  <c r="I16" i="1"/>
  <c r="H16" i="1"/>
  <c r="J16" i="1" s="1"/>
  <c r="D16" i="1"/>
  <c r="G16" i="1"/>
  <c r="C16" i="1"/>
  <c r="F16" i="1"/>
  <c r="F23" i="1" l="1"/>
  <c r="I17" i="1"/>
  <c r="G17" i="1"/>
  <c r="E17" i="1"/>
  <c r="C17" i="1"/>
  <c r="H17" i="1"/>
  <c r="D17" i="1"/>
  <c r="G25" i="1"/>
  <c r="I23" i="1"/>
  <c r="F24" i="1"/>
  <c r="H25" i="1"/>
  <c r="J25" i="1" s="1"/>
  <c r="G24" i="1"/>
  <c r="I19" i="1"/>
  <c r="G22" i="1"/>
  <c r="C22" i="1"/>
  <c r="G23" i="1"/>
  <c r="F19" i="1"/>
  <c r="I22" i="1"/>
  <c r="H22" i="1"/>
  <c r="J22" i="1" s="1"/>
  <c r="E23" i="1"/>
  <c r="F22" i="1"/>
  <c r="C23" i="1"/>
  <c r="G14" i="1"/>
  <c r="D20" i="1"/>
  <c r="E21" i="1"/>
  <c r="C24" i="1"/>
  <c r="G20" i="1"/>
  <c r="D21" i="1"/>
  <c r="G21" i="1"/>
  <c r="F20" i="1"/>
  <c r="H21" i="1"/>
  <c r="H23" i="1"/>
  <c r="J23" i="1" s="1"/>
  <c r="J21" i="1"/>
  <c r="C20" i="1"/>
  <c r="I21" i="1"/>
  <c r="E20" i="1"/>
  <c r="D24" i="1"/>
  <c r="H20" i="1"/>
  <c r="J20" i="1" s="1"/>
  <c r="C19" i="1"/>
  <c r="I24" i="1"/>
  <c r="C21" i="1"/>
  <c r="G19" i="1"/>
  <c r="H19" i="1"/>
  <c r="J19" i="1" s="1"/>
  <c r="E19" i="1"/>
  <c r="H18" i="1"/>
  <c r="J18" i="1" s="1"/>
  <c r="G18" i="1"/>
  <c r="E18" i="1"/>
  <c r="D18" i="1"/>
  <c r="J17" i="1"/>
  <c r="C18" i="1"/>
  <c r="F18" i="1"/>
  <c r="H14" i="1"/>
  <c r="J14" i="1" s="1"/>
  <c r="E14" i="1"/>
  <c r="D14" i="1"/>
  <c r="J15" i="1"/>
  <c r="C15" i="1"/>
  <c r="D15" i="1"/>
  <c r="E15" i="1"/>
  <c r="G15" i="1"/>
  <c r="I15" i="1"/>
  <c r="F15" i="1"/>
  <c r="I14" i="1"/>
  <c r="F14" i="1"/>
</calcChain>
</file>

<file path=xl/sharedStrings.xml><?xml version="1.0" encoding="utf-8"?>
<sst xmlns="http://schemas.openxmlformats.org/spreadsheetml/2006/main" count="175" uniqueCount="121">
  <si>
    <t>PRODUCTO</t>
  </si>
  <si>
    <t>DESCRIPCIÓN</t>
  </si>
  <si>
    <t>RENDIMIENTO</t>
  </si>
  <si>
    <t>PRESENTACIONES</t>
  </si>
  <si>
    <t>CANTIDADES REQUERIDAS</t>
  </si>
  <si>
    <t>EUCOFAST MEDIO</t>
  </si>
  <si>
    <t>EUCOCRETE SM</t>
  </si>
  <si>
    <t>VERSASPEED 100</t>
  </si>
  <si>
    <t>TIEMPO PARA DAR AL SERVICIO</t>
  </si>
  <si>
    <t>ESPESORES DE APLICACIÓN</t>
  </si>
  <si>
    <t>Entre 2 mm y 6 mm</t>
  </si>
  <si>
    <t>4 horas</t>
  </si>
  <si>
    <t>24 horas</t>
  </si>
  <si>
    <t>2 horas</t>
  </si>
  <si>
    <t>EUCOFAST AUTONIVELANTE</t>
  </si>
  <si>
    <t>Digite el valor de cada dimensión</t>
  </si>
  <si>
    <t>Ancho</t>
  </si>
  <si>
    <t>cm</t>
  </si>
  <si>
    <t>Largo</t>
  </si>
  <si>
    <t>kg</t>
  </si>
  <si>
    <t>Entre 1 mm y 5 mm</t>
  </si>
  <si>
    <t>THIN TOP SUPREME</t>
  </si>
  <si>
    <t>mm</t>
  </si>
  <si>
    <t>ESPESOR</t>
  </si>
  <si>
    <t>APLICA</t>
  </si>
  <si>
    <t>CRITERIO</t>
  </si>
  <si>
    <t>ESPESORES</t>
  </si>
  <si>
    <t>TIEMPO</t>
  </si>
  <si>
    <t>PRESENTACIÓN</t>
  </si>
  <si>
    <t># DE MORTEROS POSIBLES</t>
  </si>
  <si>
    <t>UNIDAD</t>
  </si>
  <si>
    <t>RESISTENCIA</t>
  </si>
  <si>
    <t>RESISTENCIAS</t>
  </si>
  <si>
    <t>HARDTOP No. 4</t>
  </si>
  <si>
    <t xml:space="preserve">Mortero fluido, conformado por dos componentes (A y B) que se mezclan antes de su aplicación, recomendado para reparaciones en superficies horizontales donde se exijan altas resistencias mecánicas y óptimas características de fluidez, adherencia e impermeabilidad. </t>
  </si>
  <si>
    <t xml:space="preserve">Mínimo 1300 psi a 1 día
Mínimo 3350 psi a 3 días
Mínimo 3800 psi a 7 días
Mínimo 4500 psi a 28 días
</t>
  </si>
  <si>
    <t>Entre 5 mm y 20 mm</t>
  </si>
  <si>
    <t xml:space="preserve"> 2.2 kg/m2/mm de espesor   </t>
  </si>
  <si>
    <t>HARDTOP No. 12M CALIDO</t>
  </si>
  <si>
    <t>HARDTOP No. 12M FRIO</t>
  </si>
  <si>
    <t>CONCRETE TOP SUPREME</t>
  </si>
  <si>
    <t xml:space="preserve">Mortero acrílico monocomponente para reparación de placas de concreto </t>
  </si>
  <si>
    <t xml:space="preserve">Mínimo 4000 psi a 1 día
Mínimo 5000 psi a 3 días
Mínimo 6400 psi a 7 días
Mínimo 8000 psi a 28 días
</t>
  </si>
  <si>
    <t>Entre 10 mm y 50 mm</t>
  </si>
  <si>
    <t xml:space="preserve">Mortero acrílico monocomponente para recubrimientos horizontales de bajo espesor </t>
  </si>
  <si>
    <t xml:space="preserve">Mínimo 2500 psi a 3 días
Mínimo 3200 psi a 7 días
Mínimo 4500 psi a 28 días
</t>
  </si>
  <si>
    <t>Entre 1.6 mm y 10 mm</t>
  </si>
  <si>
    <t>EUCOCRETE 100</t>
  </si>
  <si>
    <t xml:space="preserve">Mortero versátil, de un componente, modificado con microsílica para reparcheo y reparación en todo tipo de proyectos. </t>
  </si>
  <si>
    <t xml:space="preserve">Mínimo 3400 psi a 1 día
Mínimo 5500 psi a 3 días
Mínimo 7200 psi a 7 días
Mínimo 8000 psi a 28 días
</t>
  </si>
  <si>
    <t>Entre 25 mm y 150 mm</t>
  </si>
  <si>
    <t xml:space="preserve">Una bolsa de 25 kg a una relación a/p 0.11 llena un volumen de 11 litros y cubre un área de 0.45 m2 a 2.5 cm de espesor. </t>
  </si>
  <si>
    <t xml:space="preserve">Mínimo 2500 psi a 1 día
Mínimo 6000 psi a 7 días
Mínimo 8000 psi a 28 días
</t>
  </si>
  <si>
    <t xml:space="preserve">Una bolsa de 30 kg a una relación a/p 0.10 llena un volumen de 13 litros y cubre un área de 0.52 m2 a 2.5 cm de espesor. </t>
  </si>
  <si>
    <t>EUCOFAST</t>
  </si>
  <si>
    <t xml:space="preserve">Mortero a base de cementos especiales, de fraguado y endurecimiento rápido, diseñado para hacer reparaciones o reparcheos en superficies de concreto horizontales de bajo espesor en un rango de temperatura entre -5ºC y 30ºC. </t>
  </si>
  <si>
    <t xml:space="preserve">Mínimo 1000 psi a 4 horas
Mínimo 1500 psi a 6 horas
Mínimo 2000 psi a 24 horas
Mínimo 2500 psi a 3 días
Mínimo 3500 psi a 7 días
</t>
  </si>
  <si>
    <t xml:space="preserve">Una bolsa de 30 kg a un espesor de 6 mm cubre un área de 3.2 m2. </t>
  </si>
  <si>
    <t>Entre 7 mm y 30 mm</t>
  </si>
  <si>
    <t xml:space="preserve">Mínimo 3340 psi a 5 horas
Mínimo 4350 psi a 1 día
Mínimo 5360 psi a 7 días
Mínimo 5520 psi a 14 días
</t>
  </si>
  <si>
    <t>22 kg/m2 por cada centímetro de espesor</t>
  </si>
  <si>
    <t xml:space="preserve">Mortero de fraguado y endurecimiento rápido, diseñado para hacer reparaciones y reparcheos en superficies de concreto en un rango de temperatura entre -5ºC y 30ºC. </t>
  </si>
  <si>
    <t xml:space="preserve">Mortero aluminoso de fraguado y endurecimiento rápido, diseñado para hacer reparaciones en superficies de concreto, a espesores de 0.7 cm a 3 cm en un rango de temperatura entre -5°C y 30°C. </t>
  </si>
  <si>
    <t xml:space="preserve">Mínimo 2347 psi a 4 horas
Mínimo 5547 psi a 24 horas
Mínimo 7800 psi a 3 días
</t>
  </si>
  <si>
    <t>1.85 kg a 1.9 kg de producto seco por litro a rellenar</t>
  </si>
  <si>
    <t>Entre 40 mm y 100 mm</t>
  </si>
  <si>
    <t>Mortero de reparación monocomponente reforzado con fibras, de rápido endurecimiento y baja retracción, para proyectos que requieren ser puestos al tráfico o recubiertos con recubrimientos no respirables en pocas horas.</t>
  </si>
  <si>
    <t xml:space="preserve">Mínimo 2600 psi a 1 horas
Mínimo 3600 psi a 2 horas
Mínimo 5000 psi a 3 horas
Mínimo 6000 psi a 1 día
Mínimo 7500 psi a 7 días
Mínimo 10500 psi a 28 días
</t>
  </si>
  <si>
    <t>Entre 6 mm y 150 mm</t>
  </si>
  <si>
    <t xml:space="preserve">0.011 m3 (11 litros) por bolsa de 22.7 kg (50 lb) mezclada con 2.48 litros de agua. </t>
  </si>
  <si>
    <t xml:space="preserve">Mínimo 1500 psi a 1 día
Mínimo 2500 psi a 3 días
Mínimo 3500 psi a 7 días
Mínimo 5500 psi a 28 días
</t>
  </si>
  <si>
    <t xml:space="preserve">1.9 kg/m2 a 2.0 kg/m2 por cada mm de espesor. </t>
  </si>
  <si>
    <t>2.0 kg/m2 – 2.15 kg/m2 en espesor de 1 mm</t>
  </si>
  <si>
    <t xml:space="preserve">25 kg/m2/cm de espesor   </t>
  </si>
  <si>
    <t>1.9 kg/m2 – 2 kg/m2 en espesor de 1 mm</t>
  </si>
  <si>
    <t>HARDTOP No. 1 FRIO</t>
  </si>
  <si>
    <t>HARDTOP No. 1 CALIDO</t>
  </si>
  <si>
    <t>HARDTOP No. 2 SM FRIO</t>
  </si>
  <si>
    <t>HARDTOP No. 2 SM CALIDO</t>
  </si>
  <si>
    <t>HARDTOP No. 2  FRIO</t>
  </si>
  <si>
    <t>HARDTOP No. 2 CALIDO</t>
  </si>
  <si>
    <t>EUCOPATCH M</t>
  </si>
  <si>
    <t xml:space="preserve">Mínimo 1400 psi a 1 día
Mínimo 3100 psi a 3 días
Mínimo 4000 psi a 7 días
Mínimo 6000 psi a 28 días
</t>
  </si>
  <si>
    <t>Entre 10 mm y 40 mm</t>
  </si>
  <si>
    <t>21.5 kg/m2 a 24 kg/m2 para un espesor de 1 cm.</t>
  </si>
  <si>
    <t>VERTICOAT No. 2</t>
  </si>
  <si>
    <t xml:space="preserve">Mortero acrílico de un componente; recomendado para reparaciones de tipo estructural en superficies horizontales o verticales. </t>
  </si>
  <si>
    <t xml:space="preserve">Mínimo 2400 psi a 1 día
Mínimo 4300 psi a 3 días
Mínimo 5200 psi a 7 días
Mínimo 6500 psi a 28 días
</t>
  </si>
  <si>
    <t>Entre 10 mm y 100 mm</t>
  </si>
  <si>
    <t xml:space="preserve"> 21.5 kg/m2/cm – 24 kg/m2/cm de espesor</t>
  </si>
  <si>
    <t xml:space="preserve">Mínimo 3738 psi a 1 día
Mínimo 5476 si a 3 días
Mínimo 7760 psi a 7 días
Mínimo 7865 psi a 28 días
</t>
  </si>
  <si>
    <t xml:space="preserve">20 kg/m2 – 22 kg/m2 por cm de espesor. </t>
  </si>
  <si>
    <t>8 horas</t>
  </si>
  <si>
    <t>72 horas</t>
  </si>
  <si>
    <t>18 horas</t>
  </si>
  <si>
    <t xml:space="preserve">Mínimo 2063 psi a 7 días
</t>
  </si>
  <si>
    <t>DOSIFICACIÓN POR mm/metro2</t>
  </si>
  <si>
    <t>Espesor</t>
  </si>
  <si>
    <t>Área a reparar</t>
  </si>
  <si>
    <t xml:space="preserve">IMPORTANTE </t>
  </si>
  <si>
    <t>HOJAS TECNICAS</t>
  </si>
  <si>
    <t>ASESORIA TÉCNICA</t>
  </si>
  <si>
    <t>VERSION JUNIO 2020</t>
  </si>
  <si>
    <t>http://www.toxement.com.co/zona-t%C3%A9cnica/hojas-t%C3%A9cnicas-y-de-seguridad/</t>
  </si>
  <si>
    <r>
      <t>Las hojas técnicas de los productos puede consultarlas en nuestra página web</t>
    </r>
    <r>
      <rPr>
        <sz val="11"/>
        <color theme="8"/>
        <rFont val="Century Gothic"/>
        <family val="2"/>
      </rPr>
      <t xml:space="preserve"> </t>
    </r>
  </si>
  <si>
    <t>Para conocer que referencia de mortero aplica a la estructura a reparar puede apoyarse en la Guía de Selección de morteros en el siguiente enlace</t>
  </si>
  <si>
    <t>http://www.toxement.com.co/media/4017/gui-a_morteros_reparacio-_horizontal_vertical_sobrecabeza-comprimido-1.pdf</t>
  </si>
  <si>
    <t xml:space="preserve">De acuerdo al espesor a reparar presentamos las diferentes opciones de mortero que puede utilizar, elija la que más se adecue al tipo de aplicación a realizar.
Su uso depende de la superficie a reparar, resistencia requerida, temperatura de aplicación, tiempo de dar al servicio y espesor de aplicación.
</t>
  </si>
  <si>
    <r>
      <t>m</t>
    </r>
    <r>
      <rPr>
        <b/>
        <vertAlign val="superscript"/>
        <sz val="12"/>
        <color theme="1"/>
        <rFont val="Century Gothic"/>
        <family val="2"/>
      </rPr>
      <t>2</t>
    </r>
  </si>
  <si>
    <t xml:space="preserve">Dimensiones del Área a Reparar </t>
  </si>
  <si>
    <t xml:space="preserve">* Los rendimientos aquí consignados son consumos teóricos y promediados, sin embargo estos pueden presentar variaciones de acuerdo a la porosidad de la superficie y/o otras condiciones de la aplicación.
* Los tiempos de puesta al servicio, reportados son en condiciones de 22°C – 25°C y humedad relativa de 60%. 
</t>
  </si>
  <si>
    <t>Para mayor información sobre nuestros productos o una cotización de los mismos, puede comunicarse con su asesor de confianza, o a nuestra línea de atención al cliente (1) 8698787 o escribirnos al correo atencioncliente@toxement.com.co</t>
  </si>
  <si>
    <t xml:space="preserve">Mortero versátil, de un componente, semifluido, de alta adherencia y resistencia a compresión y con inhibidor de corrosión. </t>
  </si>
  <si>
    <t>Mortero acrílico de dos componentes (A y B) que se mezclan antes de su aplicación, recomendado para reparaciones de tipo estructural en superficies horizontales o verticales. Aplicable en climas fríos.</t>
  </si>
  <si>
    <t>Mortero acrílico de alta impermeabilidad de dos componentes (A y B); recomendado donde se requiera proteger o reparar estructuras de concreto en superficies horizontales, horizontales invertidas y/o verticales. Aplicable en climas cálidos</t>
  </si>
  <si>
    <t>Mortero acrílico de alta impermeabilidad de dos componentes (A y B); recomendado donde se requiera proteger o reparar estructuras de concreto en superficies horizontales, horizontales invertidas y/o verticales. Aplicable en climas fríos</t>
  </si>
  <si>
    <r>
      <t xml:space="preserve">Mortero acrílico de dos componentes (A y B) y se emplea para nivelación de superficies de concreto, otorga terminados lisos y nivelados con excelentes resistencias a la abrasión. </t>
    </r>
    <r>
      <rPr>
        <b/>
        <u/>
        <sz val="10"/>
        <rFont val="Century Gothic"/>
        <family val="2"/>
      </rPr>
      <t>Aplicable en climas cálidos.</t>
    </r>
  </si>
  <si>
    <r>
      <t>Mortero acrílico de dos componentes (A y B) y se emplea para nivelación de superficies de concreto, otorga terminados lisos y nivelados con excelentes resistencias a la abrasión.</t>
    </r>
    <r>
      <rPr>
        <b/>
        <u/>
        <sz val="10"/>
        <rFont val="Century Gothic"/>
        <family val="2"/>
      </rPr>
      <t xml:space="preserve"> Aplicable en climas fríos</t>
    </r>
  </si>
  <si>
    <t>Mortero acrílico de dos componentes (A y B) que se mezclan antes de su aplicación, recomendado para reparaciones de tipo estructural en superficies horizontales o verticales. Aplicable en climas cálidos</t>
  </si>
  <si>
    <t>Mortero acrílico de dos componentes diseñado para reparaciones de tipo estructural en superficies horizontales o verticales, especialmente formulado para suministrar protección contra la corrosión. Aplicable en climas cálidos</t>
  </si>
  <si>
    <t>Mortero acrílico de dos componentes diseñado para reparaciones de tipo estructural en superficies horizontales o verticales, especialmente formulado para suministrar protección contra la corrosión. Aplicable en clima fríos.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</si>
</sst>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u/>
      <sz val="10"/>
      <name val="Century Gothic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  <font>
      <sz val="11"/>
      <name val="Century Gothic"/>
      <family val="2"/>
    </font>
    <font>
      <sz val="11"/>
      <color theme="8"/>
      <name val="Century Gothic"/>
      <family val="2"/>
    </font>
    <font>
      <b/>
      <vertAlign val="superscript"/>
      <sz val="12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1" fillId="2" borderId="0" xfId="0" applyFont="1" applyFill="1" applyBorder="1" applyProtection="1"/>
    <xf numFmtId="0" fontId="2" fillId="0" borderId="0" xfId="0" applyFont="1" applyProtection="1"/>
    <xf numFmtId="0" fontId="1" fillId="0" borderId="0" xfId="0" applyFont="1" applyProtection="1"/>
    <xf numFmtId="0" fontId="1" fillId="2" borderId="3" xfId="0" applyFont="1" applyFill="1" applyBorder="1" applyProtection="1"/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/>
    <xf numFmtId="0" fontId="1" fillId="2" borderId="0" xfId="0" applyFont="1" applyFill="1" applyBorder="1" applyAlignment="1" applyProtection="1"/>
    <xf numFmtId="0" fontId="4" fillId="3" borderId="6" xfId="0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1" fillId="0" borderId="0" xfId="0" applyFont="1" applyBorder="1" applyProtection="1"/>
    <xf numFmtId="0" fontId="4" fillId="3" borderId="19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7" fillId="0" borderId="0" xfId="0" applyFont="1" applyProtection="1"/>
    <xf numFmtId="0" fontId="3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Border="1" applyProtection="1"/>
    <xf numFmtId="0" fontId="8" fillId="2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vertical="center" wrapText="1"/>
    </xf>
    <xf numFmtId="0" fontId="8" fillId="3" borderId="7" xfId="0" applyFont="1" applyFill="1" applyBorder="1" applyAlignment="1">
      <alignment vertical="center"/>
    </xf>
    <xf numFmtId="2" fontId="8" fillId="0" borderId="7" xfId="0" applyNumberFormat="1" applyFont="1" applyBorder="1" applyAlignment="1">
      <alignment horizontal="center" vertical="center"/>
    </xf>
    <xf numFmtId="0" fontId="8" fillId="6" borderId="17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7" fillId="0" borderId="0" xfId="0" applyFont="1" applyBorder="1" applyProtection="1"/>
    <xf numFmtId="0" fontId="7" fillId="2" borderId="0" xfId="0" applyFont="1" applyFill="1" applyBorder="1" applyAlignment="1" applyProtection="1"/>
    <xf numFmtId="0" fontId="3" fillId="2" borderId="7" xfId="0" applyFont="1" applyFill="1" applyBorder="1" applyAlignment="1" applyProtection="1">
      <alignment horizontal="left" vertical="top" wrapText="1"/>
    </xf>
    <xf numFmtId="0" fontId="8" fillId="0" borderId="7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wrapText="1"/>
    </xf>
    <xf numFmtId="0" fontId="8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1" fillId="0" borderId="8" xfId="0" applyFont="1" applyBorder="1" applyProtection="1"/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right"/>
    </xf>
    <xf numFmtId="0" fontId="1" fillId="0" borderId="9" xfId="0" applyFont="1" applyBorder="1" applyProtection="1"/>
    <xf numFmtId="0" fontId="3" fillId="2" borderId="19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 wrapText="1"/>
    </xf>
    <xf numFmtId="0" fontId="3" fillId="0" borderId="6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164" fontId="5" fillId="0" borderId="15" xfId="0" applyNumberFormat="1" applyFont="1" applyFill="1" applyBorder="1" applyAlignment="1" applyProtection="1"/>
    <xf numFmtId="0" fontId="15" fillId="2" borderId="8" xfId="0" applyFont="1" applyFill="1" applyBorder="1" applyAlignment="1" applyProtection="1">
      <alignment vertical="center"/>
    </xf>
    <xf numFmtId="0" fontId="15" fillId="2" borderId="10" xfId="0" applyFont="1" applyFill="1" applyBorder="1" applyAlignment="1" applyProtection="1">
      <alignment vertical="center"/>
    </xf>
    <xf numFmtId="0" fontId="15" fillId="2" borderId="9" xfId="0" applyFont="1" applyFill="1" applyBorder="1" applyAlignment="1" applyProtection="1">
      <alignment vertical="center"/>
    </xf>
    <xf numFmtId="0" fontId="14" fillId="2" borderId="3" xfId="0" applyFont="1" applyFill="1" applyBorder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4" fillId="2" borderId="21" xfId="0" applyFont="1" applyFill="1" applyBorder="1" applyAlignment="1" applyProtection="1">
      <alignment wrapText="1"/>
    </xf>
    <xf numFmtId="0" fontId="8" fillId="6" borderId="23" xfId="0" applyFont="1" applyFill="1" applyBorder="1" applyAlignment="1">
      <alignment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Protection="1"/>
    <xf numFmtId="0" fontId="8" fillId="0" borderId="28" xfId="0" applyFont="1" applyBorder="1" applyAlignment="1" applyProtection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2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right"/>
    </xf>
    <xf numFmtId="0" fontId="1" fillId="0" borderId="20" xfId="0" applyFont="1" applyBorder="1" applyProtection="1"/>
    <xf numFmtId="0" fontId="1" fillId="0" borderId="3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21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right"/>
    </xf>
    <xf numFmtId="0" fontId="1" fillId="0" borderId="22" xfId="0" applyFont="1" applyBorder="1" applyProtection="1"/>
    <xf numFmtId="0" fontId="1" fillId="2" borderId="21" xfId="0" applyFont="1" applyFill="1" applyBorder="1" applyAlignment="1" applyProtection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/>
    </xf>
    <xf numFmtId="0" fontId="13" fillId="0" borderId="9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20" xfId="0" applyFont="1" applyBorder="1" applyAlignment="1" applyProtection="1">
      <alignment horizontal="left" vertical="top" wrapText="1"/>
    </xf>
    <xf numFmtId="0" fontId="12" fillId="5" borderId="8" xfId="0" applyFont="1" applyFill="1" applyBorder="1" applyAlignment="1" applyProtection="1">
      <alignment horizontal="left" vertical="center" wrapText="1"/>
    </xf>
    <xf numFmtId="0" fontId="12" fillId="5" borderId="10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top" wrapText="1"/>
    </xf>
    <xf numFmtId="0" fontId="12" fillId="4" borderId="10" xfId="0" applyFont="1" applyFill="1" applyBorder="1" applyAlignment="1" applyProtection="1">
      <alignment horizontal="center" vertical="top" wrapText="1"/>
    </xf>
    <xf numFmtId="0" fontId="12" fillId="4" borderId="9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vertical="top" wrapText="1"/>
    </xf>
    <xf numFmtId="0" fontId="12" fillId="2" borderId="21" xfId="0" applyFont="1" applyFill="1" applyBorder="1" applyAlignment="1" applyProtection="1">
      <alignment vertical="top" wrapText="1"/>
    </xf>
    <xf numFmtId="0" fontId="11" fillId="2" borderId="0" xfId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14" fillId="2" borderId="3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left" wrapText="1"/>
    </xf>
    <xf numFmtId="0" fontId="14" fillId="2" borderId="21" xfId="0" applyFont="1" applyFill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22" xfId="0" applyFont="1" applyBorder="1" applyAlignment="1" applyProtection="1">
      <alignment horizontal="left" vertical="top" wrapText="1"/>
    </xf>
    <xf numFmtId="0" fontId="16" fillId="2" borderId="3" xfId="1" applyFont="1" applyFill="1" applyBorder="1" applyAlignment="1" applyProtection="1">
      <alignment horizontal="left" vertical="center" wrapText="1"/>
    </xf>
    <xf numFmtId="0" fontId="16" fillId="2" borderId="0" xfId="1" applyFont="1" applyFill="1" applyBorder="1" applyAlignment="1" applyProtection="1">
      <alignment horizontal="left" vertical="center" wrapText="1"/>
    </xf>
    <xf numFmtId="0" fontId="11" fillId="2" borderId="0" xfId="1" applyFill="1" applyBorder="1" applyAlignment="1" applyProtection="1">
      <alignment horizontal="left" vertical="center" wrapText="1"/>
    </xf>
    <xf numFmtId="0" fontId="11" fillId="2" borderId="21" xfId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1" fontId="5" fillId="4" borderId="11" xfId="0" applyNumberFormat="1" applyFont="1" applyFill="1" applyBorder="1" applyAlignment="1" applyProtection="1">
      <protection locked="0"/>
    </xf>
    <xf numFmtId="1" fontId="5" fillId="4" borderId="15" xfId="0" applyNumberFormat="1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1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778936</xdr:colOff>
      <xdr:row>2</xdr:row>
      <xdr:rowOff>42334</xdr:rowOff>
    </xdr:from>
    <xdr:to>
      <xdr:col>3</xdr:col>
      <xdr:colOff>1118613</xdr:colOff>
      <xdr:row>9</xdr:row>
      <xdr:rowOff>304801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9" y="2946401"/>
          <a:ext cx="5834544" cy="22521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33</xdr:row>
      <xdr:rowOff>21168</xdr:rowOff>
    </xdr:from>
    <xdr:to>
      <xdr:col>9</xdr:col>
      <xdr:colOff>1451429</xdr:colOff>
      <xdr:row>39</xdr:row>
      <xdr:rowOff>1591734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671" y="21375311"/>
          <a:ext cx="14167758" cy="2659137"/>
        </a:xfrm>
        <a:prstGeom prst="rect">
          <a:avLst/>
        </a:prstGeom>
      </xdr:spPr>
    </xdr:pic>
    <xdr:clientData/>
  </xdr:twoCellAnchor>
  <xdr:twoCellAnchor editAs="oneCell">
    <xdr:from>
      <xdr:col>1</xdr:col>
      <xdr:colOff>16935</xdr:colOff>
      <xdr:row>0</xdr:row>
      <xdr:rowOff>0</xdr:rowOff>
    </xdr:from>
    <xdr:to>
      <xdr:col>9</xdr:col>
      <xdr:colOff>1487714</xdr:colOff>
      <xdr:row>0</xdr:row>
      <xdr:rowOff>2650066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06" y="0"/>
          <a:ext cx="14225208" cy="2650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169610</xdr:colOff>
      <xdr:row>0</xdr:row>
      <xdr:rowOff>33867</xdr:rowOff>
    </xdr:from>
    <xdr:to>
      <xdr:col>14</xdr:col>
      <xdr:colOff>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10" y="33867"/>
          <a:ext cx="10676190" cy="499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4017/gui-a_morteros_reparacio-_horizontal_vertical_sobrecabeza-comprimido-1.pdf" TargetMode="External"/><Relationship Id="rId2" Type="http://schemas.openxmlformats.org/officeDocument/2006/relationships/hyperlink" Target="http://www.toxement.com.co/zona-t%C3%A9cnica/hojas-t%C3%A9cnicas-y-de-seguridad/" TargetMode="External"/><Relationship Id="rId1" Type="http://schemas.openxmlformats.org/officeDocument/2006/relationships/hyperlink" Target="http://www.toxement.com.co/zona-t%C3%A9cnica/hojas-t%C3%A9cnicas-y-de-seguridad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showGridLines="0" showRowColHeaders="0" tabSelected="1" zoomScale="70" zoomScaleNormal="70" workbookViewId="0">
      <selection activeCell="C13" sqref="C13"/>
    </sheetView>
  </sheetViews>
  <sheetFormatPr baseColWidth="10" defaultColWidth="0" defaultRowHeight="14" zeroHeight="1" x14ac:dyDescent="0.3"/>
  <cols>
    <col min="1" max="1" width="1" style="3" customWidth="1"/>
    <col min="2" max="2" width="24.81640625" style="3" bestFit="1" customWidth="1"/>
    <col min="3" max="3" width="53.81640625" style="3" bestFit="1" customWidth="1"/>
    <col min="4" max="4" width="24.81640625" style="3" customWidth="1"/>
    <col min="5" max="5" width="20.26953125" style="3" customWidth="1"/>
    <col min="6" max="6" width="14.81640625" style="64" customWidth="1"/>
    <col min="7" max="7" width="26.54296875" style="3" customWidth="1"/>
    <col min="8" max="8" width="7.54296875" style="41" customWidth="1"/>
    <col min="9" max="9" width="10.1796875" style="3" customWidth="1"/>
    <col min="10" max="10" width="21.453125" style="3" customWidth="1"/>
    <col min="11" max="11" width="2.54296875" style="2" customWidth="1"/>
    <col min="12" max="13" width="26.54296875" style="19" hidden="1" customWidth="1"/>
    <col min="14" max="14" width="55.453125" style="19" hidden="1" customWidth="1"/>
    <col min="15" max="15" width="30.1796875" style="19" hidden="1" customWidth="1"/>
    <col min="16" max="16" width="21" style="19" hidden="1" customWidth="1"/>
    <col min="17" max="17" width="8.1796875" style="38" hidden="1" customWidth="1"/>
    <col min="18" max="18" width="27.453125" style="19" hidden="1" customWidth="1"/>
    <col min="19" max="19" width="14" style="19" hidden="1" customWidth="1"/>
    <col min="20" max="20" width="0" style="29" hidden="1" customWidth="1"/>
    <col min="21" max="16384" width="11.453125" style="14" hidden="1"/>
  </cols>
  <sheetData>
    <row r="1" spans="1:20" ht="210.65" customHeight="1" thickBot="1" x14ac:dyDescent="0.35">
      <c r="B1" s="45"/>
      <c r="C1" s="46"/>
      <c r="D1" s="46"/>
      <c r="E1" s="46"/>
      <c r="F1" s="63"/>
      <c r="G1" s="46"/>
      <c r="H1" s="47"/>
      <c r="I1" s="46"/>
      <c r="J1" s="48"/>
    </row>
    <row r="2" spans="1:20" ht="18" customHeight="1" thickBot="1" x14ac:dyDescent="0.35">
      <c r="B2" s="86"/>
      <c r="C2" s="87"/>
      <c r="D2" s="87"/>
      <c r="E2" s="87"/>
      <c r="F2" s="88"/>
      <c r="G2" s="87"/>
      <c r="H2" s="89"/>
      <c r="I2" s="87"/>
      <c r="J2" s="90"/>
    </row>
    <row r="3" spans="1:20" s="8" customFormat="1" ht="29.25" customHeight="1" thickBot="1" x14ac:dyDescent="0.3">
      <c r="A3" s="7"/>
      <c r="B3" s="7"/>
      <c r="E3" s="101" t="s">
        <v>109</v>
      </c>
      <c r="F3" s="102"/>
      <c r="G3" s="103"/>
      <c r="J3" s="100"/>
      <c r="L3" s="30"/>
      <c r="M3" s="30"/>
      <c r="N3" s="30"/>
      <c r="O3" s="30"/>
      <c r="P3" s="30"/>
      <c r="Q3" s="39"/>
      <c r="R3" s="30"/>
      <c r="S3" s="30"/>
      <c r="T3" s="30"/>
    </row>
    <row r="4" spans="1:20" s="8" customFormat="1" ht="15.65" customHeight="1" thickBot="1" x14ac:dyDescent="0.3">
      <c r="A4" s="7"/>
      <c r="B4" s="7"/>
      <c r="E4" s="110" t="s">
        <v>15</v>
      </c>
      <c r="F4" s="111"/>
      <c r="G4" s="112"/>
      <c r="J4" s="100"/>
      <c r="L4" s="30"/>
      <c r="M4" s="30"/>
      <c r="N4" s="30"/>
      <c r="O4" s="30"/>
      <c r="P4" s="30"/>
      <c r="Q4" s="39"/>
      <c r="R4" s="30"/>
      <c r="S4" s="30"/>
      <c r="T4" s="30"/>
    </row>
    <row r="5" spans="1:20" s="8" customFormat="1" ht="15" x14ac:dyDescent="0.3">
      <c r="A5" s="7"/>
      <c r="B5" s="7"/>
      <c r="E5" s="11" t="s">
        <v>97</v>
      </c>
      <c r="F5" s="133">
        <v>2</v>
      </c>
      <c r="G5" s="65" t="s">
        <v>22</v>
      </c>
      <c r="H5" s="117" t="str">
        <f>IF($F$5&gt;=100," NOTA: Para espesores mayores a 100 mm puede adicionar grava en un 30% de volumen", " ")</f>
        <v xml:space="preserve"> </v>
      </c>
      <c r="I5" s="118"/>
      <c r="J5" s="119"/>
      <c r="L5" s="30"/>
      <c r="M5" s="30"/>
      <c r="N5" s="30"/>
      <c r="O5" s="30"/>
      <c r="P5" s="30"/>
      <c r="Q5" s="39"/>
      <c r="R5" s="30"/>
      <c r="S5" s="30"/>
      <c r="T5" s="30"/>
    </row>
    <row r="6" spans="1:20" s="8" customFormat="1" ht="15" x14ac:dyDescent="0.3">
      <c r="A6" s="7"/>
      <c r="B6" s="7"/>
      <c r="E6" s="12" t="s">
        <v>16</v>
      </c>
      <c r="F6" s="133">
        <v>200</v>
      </c>
      <c r="G6" s="66" t="s">
        <v>17</v>
      </c>
      <c r="H6" s="117"/>
      <c r="I6" s="118"/>
      <c r="J6" s="119"/>
      <c r="L6" s="30"/>
      <c r="M6" s="30"/>
      <c r="N6" s="30"/>
      <c r="O6" s="30"/>
      <c r="P6" s="30"/>
      <c r="Q6" s="39"/>
      <c r="R6" s="30"/>
      <c r="S6" s="30"/>
      <c r="T6" s="30"/>
    </row>
    <row r="7" spans="1:20" s="8" customFormat="1" ht="15.5" thickBot="1" x14ac:dyDescent="0.35">
      <c r="A7" s="7"/>
      <c r="B7" s="7"/>
      <c r="E7" s="13" t="s">
        <v>18</v>
      </c>
      <c r="F7" s="134">
        <v>200</v>
      </c>
      <c r="G7" s="67" t="s">
        <v>17</v>
      </c>
      <c r="H7" s="117"/>
      <c r="I7" s="118"/>
      <c r="J7" s="119"/>
      <c r="L7" s="30"/>
      <c r="M7" s="30"/>
      <c r="N7" s="30"/>
      <c r="O7" s="30"/>
      <c r="P7" s="30"/>
      <c r="Q7" s="39"/>
      <c r="R7" s="30"/>
      <c r="S7" s="30"/>
      <c r="T7" s="30"/>
    </row>
    <row r="8" spans="1:20" s="8" customFormat="1" ht="23.15" customHeight="1" thickBot="1" x14ac:dyDescent="0.35">
      <c r="A8" s="7"/>
      <c r="B8" s="7"/>
      <c r="E8" s="13" t="s">
        <v>98</v>
      </c>
      <c r="F8" s="68">
        <f>($F$6/100)*$F$7/100</f>
        <v>4</v>
      </c>
      <c r="G8" s="67" t="s">
        <v>108</v>
      </c>
      <c r="H8" s="117"/>
      <c r="I8" s="118"/>
      <c r="J8" s="119"/>
      <c r="K8" s="3"/>
      <c r="L8" s="30"/>
      <c r="M8" s="30"/>
      <c r="N8" s="30"/>
      <c r="O8" s="30"/>
      <c r="P8" s="30"/>
      <c r="Q8" s="39"/>
      <c r="R8" s="30"/>
      <c r="S8" s="30"/>
      <c r="T8" s="30"/>
    </row>
    <row r="9" spans="1:20" s="8" customFormat="1" ht="44.5" customHeight="1" x14ac:dyDescent="0.35">
      <c r="A9" s="7"/>
      <c r="B9" s="7"/>
      <c r="E9" s="132" t="s">
        <v>105</v>
      </c>
      <c r="F9" s="132"/>
      <c r="G9" s="132"/>
      <c r="J9" s="100"/>
      <c r="K9" s="3"/>
      <c r="L9" s="30"/>
      <c r="M9" s="30"/>
      <c r="N9" s="30"/>
      <c r="O9" s="30"/>
      <c r="P9" s="30"/>
      <c r="Q9" s="39"/>
      <c r="R9" s="30"/>
      <c r="S9" s="30"/>
      <c r="T9" s="30"/>
    </row>
    <row r="10" spans="1:20" s="8" customFormat="1" ht="39" customHeight="1" x14ac:dyDescent="0.25">
      <c r="A10" s="7"/>
      <c r="B10" s="7"/>
      <c r="E10" s="120" t="s">
        <v>106</v>
      </c>
      <c r="F10" s="121"/>
      <c r="G10" s="121"/>
      <c r="H10" s="42"/>
      <c r="J10" s="100"/>
      <c r="K10" s="3"/>
    </row>
    <row r="11" spans="1:20" s="8" customFormat="1" thickBot="1" x14ac:dyDescent="0.3">
      <c r="A11" s="7"/>
      <c r="B11" s="7"/>
      <c r="F11" s="55"/>
      <c r="H11" s="42"/>
      <c r="J11" s="100"/>
      <c r="K11" s="3"/>
    </row>
    <row r="12" spans="1:20" s="8" customFormat="1" ht="31.5" customHeight="1" thickBot="1" x14ac:dyDescent="0.3">
      <c r="A12" s="7"/>
      <c r="B12" s="114" t="s">
        <v>107</v>
      </c>
      <c r="C12" s="115"/>
      <c r="D12" s="115"/>
      <c r="E12" s="115"/>
      <c r="F12" s="115"/>
      <c r="G12" s="115"/>
      <c r="H12" s="115"/>
      <c r="I12" s="115"/>
      <c r="J12" s="116"/>
      <c r="K12" s="3"/>
    </row>
    <row r="13" spans="1:20" ht="43" customHeight="1" thickBot="1" x14ac:dyDescent="0.3">
      <c r="A13" s="4"/>
      <c r="B13" s="9" t="s">
        <v>0</v>
      </c>
      <c r="C13" s="34" t="s">
        <v>1</v>
      </c>
      <c r="D13" s="34" t="s">
        <v>31</v>
      </c>
      <c r="E13" s="34" t="s">
        <v>9</v>
      </c>
      <c r="F13" s="34" t="s">
        <v>8</v>
      </c>
      <c r="G13" s="34" t="s">
        <v>2</v>
      </c>
      <c r="H13" s="113" t="s">
        <v>3</v>
      </c>
      <c r="I13" s="113"/>
      <c r="J13" s="10" t="s">
        <v>4</v>
      </c>
      <c r="K13" s="3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80.150000000000006" customHeight="1" thickBot="1" x14ac:dyDescent="0.3">
      <c r="A14" s="4"/>
      <c r="B14" s="52" t="str">
        <f>IF(ROWS($B$14:B14)&gt;COUNTIF(LISTADO!$A$5:$A$23,LISTADO!$B$2)," ",INDEX(LISTADO!$A$5:$B$23,_xlfn.AGGREGATE(15,6,ROW(LISTADO!$A$5:$A$23)-ROW(LISTADO!$A$5)+1/--(LISTADO!$A$5:$A$23=LISTADO!$B$2),ROWS(LISTADO!$B$2:B2)),2))</f>
        <v>EUCOFAST AUTONIVELANTE</v>
      </c>
      <c r="C14" s="53" t="str">
        <f>IF(ROWS($B$14:B14)&gt;COUNTIF(LISTADO!$A$5:$A$23,LISTADO!$B$2)," ",VLOOKUP(B14,LISTADO!$B$5:$I$23,2,0))</f>
        <v xml:space="preserve">Mortero a base de cementos especiales, de fraguado y endurecimiento rápido, diseñado para hacer reparaciones o reparcheos en superficies de concreto horizontales de bajo espesor en un rango de temperatura entre -5ºC y 30ºC. </v>
      </c>
      <c r="D14" s="5" t="str">
        <f>IF(ROWS($B$14:B14)&gt;COUNTIF(LISTADO!$A$5:$A$23,LISTADO!$B$2)," ",VLOOKUP(B14,LISTADO!$B$5:$I$23,3,0))</f>
        <v xml:space="preserve">Mínimo 1000 psi a 4 horas
Mínimo 1500 psi a 6 horas
Mínimo 2000 psi a 24 horas
Mínimo 2500 psi a 3 días
Mínimo 3500 psi a 7 días
</v>
      </c>
      <c r="E14" s="53" t="str">
        <f>IF(ROWS($B$14:B14)&gt;COUNTIF(LISTADO!$A$5:$A$23,LISTADO!$B$2)," ",VLOOKUP(B14,LISTADO!$B$5:$I$23,4,0))</f>
        <v>Entre 2 mm y 6 mm</v>
      </c>
      <c r="F14" s="6" t="str">
        <f>IF(ROWS($B$14:B14)&gt;COUNTIF(LISTADO!$A$5:$A$23,LISTADO!$B$2)," ",VLOOKUP(B14,LISTADO!$B$5:$I$23,5,0))</f>
        <v>8 horas</v>
      </c>
      <c r="G14" s="54" t="str">
        <f>IF(ROWS($B$14:B14)&gt;COUNTIF(LISTADO!$A$5:$A$23,LISTADO!$B$2)," ",VLOOKUP(B14,LISTADO!$B$5:$I$23,6,0))</f>
        <v xml:space="preserve">Una bolsa de 30 kg a un espesor de 6 mm cubre un área de 3.2 m2. </v>
      </c>
      <c r="H14" s="43">
        <f>IF(ROWS($B$14:B14)&gt;COUNTIF(LISTADO!$A$5:$A$23,LISTADO!$B$2)," ",VLOOKUP(B14,LISTADO!$B$5:$I$23,7,0))</f>
        <v>30</v>
      </c>
      <c r="I14" s="44" t="str">
        <f>IF(ROWS($B$14:B14)&gt;COUNTIF(LISTADO!$A$5:$A$23,LISTADO!$B$2)," ",VLOOKUP(B14,LISTADO!$B$5:$I$23,8,0))</f>
        <v>kg</v>
      </c>
      <c r="J14" s="6" t="str">
        <f>IF(ROWS($B$14:B14)&gt;COUNTIF(LISTADO!$A$5:$A$23,LISTADO!$B$2)," ",ROUNDUP((IF(ROWS($B$14:B14)&gt;COUNTIF(LISTADO!$A$5:$A$23,LISTADO!$B$2)," ",VLOOKUP(B14,LISTADO!$B$5:$J$23,9,0))*$F$8*$F$5)/H14,0)&amp;" Bolsas")</f>
        <v>1 Bolsas</v>
      </c>
      <c r="K14" s="3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80.150000000000006" customHeight="1" thickBot="1" x14ac:dyDescent="0.3">
      <c r="A15" s="4"/>
      <c r="B15" s="52" t="str">
        <f>IF(ROWS($B$14:B15)&gt;COUNTIF(LISTADO!$A$5:$A$23,LISTADO!$B$2)," ",INDEX(LISTADO!$A$5:$B$23,_xlfn.AGGREGATE(15,6,ROW(LISTADO!$A$5:$A$23)-ROW(LISTADO!$A$5)+1/--(LISTADO!$A$5:$A$23=LISTADO!$B$2),ROWS(LISTADO!$B$2:B3)),2))</f>
        <v>EUCOPATCH M</v>
      </c>
      <c r="C15" s="53" t="str">
        <f>IF(ROWS($B$14:B15)&gt;COUNTIF(LISTADO!$A$5:$A$23,LISTADO!$B$2)," ",VLOOKUP(B15,LISTADO!$B$5:$I$23,2,0))</f>
        <v>Mortero acrílico de dos componentes (A y B) que se mezclan antes de su aplicación, recomendado para reparaciones de tipo estructural en superficies horizontales o verticales. Aplicable en climas fríos.</v>
      </c>
      <c r="D15" s="51" t="str">
        <f>IF(ROWS($B$14:B15)&gt;COUNTIF(LISTADO!$A$5:$A$23,LISTADO!$B$2)," ",VLOOKUP(B15,LISTADO!$B$5:$I$23,3,0))</f>
        <v xml:space="preserve">Mínimo 3738 psi a 1 día
Mínimo 5476 si a 3 días
Mínimo 7760 psi a 7 días
Mínimo 7865 psi a 28 días
</v>
      </c>
      <c r="E15" s="53" t="str">
        <f>IF(ROWS($B$14:B15)&gt;COUNTIF(LISTADO!$A$5:$A$23,LISTADO!$B$2)," ",VLOOKUP(B15,LISTADO!$B$5:$I$23,4,0))</f>
        <v>Entre 10 mm y 100 mm</v>
      </c>
      <c r="F15" s="6" t="str">
        <f>IF(ROWS($B$14:B15)&gt;COUNTIF(LISTADO!$A$5:$A$23,LISTADO!$B$2)," ",VLOOKUP(B15,LISTADO!$B$5:$I$23,5,0))</f>
        <v>24 horas</v>
      </c>
      <c r="G15" s="54" t="str">
        <f>IF(ROWS($B$14:B15)&gt;COUNTIF(LISTADO!$A$5:$A$23,LISTADO!$B$2)," ",VLOOKUP(B15,LISTADO!$B$5:$I$23,6,0))</f>
        <v xml:space="preserve">20 kg/m2 – 22 kg/m2 por cm de espesor. </v>
      </c>
      <c r="H15" s="43">
        <f>IF(ROWS($B$14:B15)&gt;COUNTIF(LISTADO!$A$5:$A$23,LISTADO!$B$2)," ",VLOOKUP(B15,LISTADO!$B$5:$I$23,7,0))</f>
        <v>30</v>
      </c>
      <c r="I15" s="44" t="str">
        <f>IF(ROWS($B$14:B15)&gt;COUNTIF(LISTADO!$A$5:$A$23,LISTADO!$B$2)," ",VLOOKUP(B15,LISTADO!$B$5:$I$23,8,0))</f>
        <v>kg</v>
      </c>
      <c r="J15" s="6" t="str">
        <f>IF(ROWS($B$14:B15)&gt;COUNTIF(LISTADO!$A$5:$A$23,LISTADO!$B$2)," ",ROUNDUP((IF(ROWS($B$14:B15)&gt;COUNTIF(LISTADO!$A$5:$A$23,LISTADO!$B$2)," ",VLOOKUP(B15,LISTADO!$B$5:$J$23,9,0))*$F$8*$F$5)/H15,0)&amp;" Bolsas")</f>
        <v>1 Bolsas</v>
      </c>
      <c r="K15" s="3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80.150000000000006" customHeight="1" thickBot="1" x14ac:dyDescent="0.3">
      <c r="A16" s="1"/>
      <c r="B16" s="52" t="str">
        <f>IF(ROWS($B$14:B16)&gt;COUNTIF(LISTADO!$A$5:$A$23,LISTADO!$B$2)," ",INDEX(LISTADO!$A$5:$B$23,_xlfn.AGGREGATE(15,6,ROW(LISTADO!$A$5:$A$23)-ROW(LISTADO!$A$5)+1/--(LISTADO!$A$5:$A$23=LISTADO!$B$2),ROWS(LISTADO!$B$2:B4)),2))</f>
        <v>HARDTOP No. 1 CALIDO</v>
      </c>
      <c r="C16" s="53" t="str">
        <f>IF(ROWS($B$14:B16)&gt;COUNTIF(LISTADO!$A$5:$A$23,LISTADO!$B$2)," ",VLOOKUP(B16,LISTADO!$B$5:$I$23,2,0))</f>
        <v>Mortero acrílico de alta impermeabilidad de dos componentes (A y B); recomendado donde se requiera proteger o reparar estructuras de concreto en superficies horizontales, horizontales invertidas y/o verticales. Aplicable en climas cálidos</v>
      </c>
      <c r="D16" s="51" t="str">
        <f>IF(ROWS($B$14:B16)&gt;COUNTIF(LISTADO!$A$5:$A$23,LISTADO!$B$2)," ",VLOOKUP(B16,LISTADO!$B$5:$I$23,3,0))</f>
        <v xml:space="preserve">Mínimo 1500 psi a 1 día
Mínimo 2500 psi a 3 días
Mínimo 3500 psi a 7 días
Mínimo 5500 psi a 28 días
</v>
      </c>
      <c r="E16" s="53" t="str">
        <f>IF(ROWS($B$14:B16)&gt;COUNTIF(LISTADO!$A$5:$A$23,LISTADO!$B$2)," ",VLOOKUP(B16,LISTADO!$B$5:$I$23,4,0))</f>
        <v>Entre 1 mm y 5 mm</v>
      </c>
      <c r="F16" s="6" t="str">
        <f>IF(ROWS($B$14:B16)&gt;COUNTIF(LISTADO!$A$5:$A$23,LISTADO!$B$2)," ",VLOOKUP(B16,LISTADO!$B$5:$I$23,5,0))</f>
        <v>24 horas</v>
      </c>
      <c r="G16" s="54" t="str">
        <f>IF(ROWS($B$14:B16)&gt;COUNTIF(LISTADO!$A$5:$A$23,LISTADO!$B$2)," ",VLOOKUP(B16,LISTADO!$B$5:$I$23,6,0))</f>
        <v xml:space="preserve">1.9 kg/m2 a 2.0 kg/m2 por cada mm de espesor. </v>
      </c>
      <c r="H16" s="43">
        <f>IF(ROWS($B$14:B16)&gt;COUNTIF(LISTADO!$A$5:$A$23,LISTADO!$B$2)," ",VLOOKUP(B16,LISTADO!$B$5:$I$23,7,0))</f>
        <v>22</v>
      </c>
      <c r="I16" s="44" t="str">
        <f>IF(ROWS($B$14:B16)&gt;COUNTIF(LISTADO!$A$5:$A$23,LISTADO!$B$2)," ",VLOOKUP(B16,LISTADO!$B$5:$I$23,8,0))</f>
        <v>kg</v>
      </c>
      <c r="J16" s="6" t="str">
        <f>IF(ROWS($B$14:B16)&gt;COUNTIF(LISTADO!$A$5:$A$23,LISTADO!$B$2)," ",ROUNDUP((IF(ROWS($B$14:B16)&gt;COUNTIF(LISTADO!$A$5:$A$23,LISTADO!$B$2)," ",VLOOKUP(B16,LISTADO!$B$5:$J$23,9,0))*$F$8*$F$5)/H16,0)&amp;" Bolsas")</f>
        <v>1 Bolsas</v>
      </c>
      <c r="K16" s="3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80.150000000000006" customHeight="1" thickBot="1" x14ac:dyDescent="0.3">
      <c r="A17" s="1"/>
      <c r="B17" s="52" t="str">
        <f>IF(ROWS($B$14:B17)&gt;COUNTIF(LISTADO!$A$5:$A$23,LISTADO!$B$2)," ",INDEX(LISTADO!$A$5:$B$23,_xlfn.AGGREGATE(15,6,ROW(LISTADO!$A$5:$A$23)-ROW(LISTADO!$A$5)+1/--(LISTADO!$A$5:$A$23=LISTADO!$B$2),ROWS(LISTADO!$B$2:B5)),2))</f>
        <v>HARDTOP No. 1 FRIO</v>
      </c>
      <c r="C17" s="53" t="str">
        <f>IF(ROWS($B$14:B17)&gt;COUNTIF(LISTADO!$A$5:$A$23,LISTADO!$B$2)," ",VLOOKUP(B17,LISTADO!$B$5:$I$23,2,0))</f>
        <v>Mortero acrílico de alta impermeabilidad de dos componentes (A y B); recomendado donde se requiera proteger o reparar estructuras de concreto en superficies horizontales, horizontales invertidas y/o verticales. Aplicable en climas fríos</v>
      </c>
      <c r="D17" s="51" t="str">
        <f>IF(ROWS($B$14:B17)&gt;COUNTIF(LISTADO!$A$5:$A$23,LISTADO!$B$2)," ",VLOOKUP(B17,LISTADO!$B$5:$I$23,3,0))</f>
        <v xml:space="preserve">Mínimo 1500 psi a 1 día
Mínimo 2500 psi a 3 días
Mínimo 3500 psi a 7 días
Mínimo 5500 psi a 28 días
</v>
      </c>
      <c r="E17" s="53" t="str">
        <f>IF(ROWS($B$14:B17)&gt;COUNTIF(LISTADO!$A$5:$A$23,LISTADO!$B$2)," ",VLOOKUP(B17,LISTADO!$B$5:$I$23,4,0))</f>
        <v>Entre 1 mm y 5 mm</v>
      </c>
      <c r="F17" s="6" t="str">
        <f>IF(ROWS($B$14:B17)&gt;COUNTIF(LISTADO!$A$5:$A$23,LISTADO!$B$2)," ",VLOOKUP(B17,LISTADO!$B$5:$I$23,5,0))</f>
        <v>24 horas</v>
      </c>
      <c r="G17" s="54" t="str">
        <f>IF(ROWS($B$14:B17)&gt;COUNTIF(LISTADO!$A$5:$A$23,LISTADO!$B$2)," ",VLOOKUP(B17,LISTADO!$B$5:$I$23,6,0))</f>
        <v xml:space="preserve">1.9 kg/m2 a 2.0 kg/m2 por cada mm de espesor. </v>
      </c>
      <c r="H17" s="43">
        <f>IF(ROWS($B$14:B17)&gt;COUNTIF(LISTADO!$A$5:$A$23,LISTADO!$B$2)," ",VLOOKUP(B17,LISTADO!$B$5:$I$23,7,0))</f>
        <v>24</v>
      </c>
      <c r="I17" s="44" t="str">
        <f>IF(ROWS($B$14:B17)&gt;COUNTIF(LISTADO!$A$5:$A$23,LISTADO!$B$2)," ",VLOOKUP(B17,LISTADO!$B$5:$I$23,8,0))</f>
        <v>kg</v>
      </c>
      <c r="J17" s="6" t="str">
        <f>IF(ROWS($B$14:B17)&gt;COUNTIF(LISTADO!$A$5:$A$23,LISTADO!$B$2)," ",ROUNDUP((IF(ROWS($B$14:B17)&gt;COUNTIF(LISTADO!$A$5:$A$23,LISTADO!$B$2)," ",VLOOKUP(B17,LISTADO!$B$5:$J$23,9,0))*$F$8*$F$5)/H17,0)&amp;" Bolsas")</f>
        <v>1 Bolsas</v>
      </c>
      <c r="K17" s="3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80.150000000000006" customHeight="1" thickBot="1" x14ac:dyDescent="0.3">
      <c r="A18" s="1"/>
      <c r="B18" s="52" t="str">
        <f>IF(ROWS($B$14:B18)&gt;COUNTIF(LISTADO!$A$5:$A$23,LISTADO!$B$2)," ",INDEX(LISTADO!$A$5:$B$23,_xlfn.AGGREGATE(15,6,ROW(LISTADO!$A$5:$A$23)-ROW(LISTADO!$A$5)+1/--(LISTADO!$A$5:$A$23=LISTADO!$B$2),ROWS(LISTADO!$B$2:B6)),2))</f>
        <v>HARDTOP No. 12M CALIDO</v>
      </c>
      <c r="C18" s="53" t="str">
        <f>IF(ROWS($B$14:B18)&gt;COUNTIF(LISTADO!$A$5:$A$23,LISTADO!$B$2)," ",VLOOKUP(B18,LISTADO!$B$5:$I$23,2,0))</f>
        <v>Mortero acrílico de dos componentes (A y B) y se emplea para nivelación de superficies de concreto, otorga terminados lisos y nivelados con excelentes resistencias a la abrasión. Aplicable en climas cálidos.</v>
      </c>
      <c r="D18" s="135" t="str">
        <f>IF(ROWS($B$14:B18)&gt;COUNTIF(LISTADO!$A$5:$A$23,LISTADO!$B$2)," ",VLOOKUP(B18,LISTADO!$B$5:$I$23,3,0))</f>
        <v xml:space="preserve">Mínimo 2063 psi a 7 días
</v>
      </c>
      <c r="E18" s="53" t="str">
        <f>IF(ROWS($B$14:B18)&gt;COUNTIF(LISTADO!$A$5:$A$23,LISTADO!$B$2)," ",VLOOKUP(B18,LISTADO!$B$5:$I$23,4,0))</f>
        <v>Entre 1 mm y 5 mm</v>
      </c>
      <c r="F18" s="6" t="str">
        <f>IF(ROWS($B$14:B18)&gt;COUNTIF(LISTADO!$A$5:$A$23,LISTADO!$B$2)," ",VLOOKUP(B18,LISTADO!$B$5:$I$23,5,0))</f>
        <v>18 horas</v>
      </c>
      <c r="G18" s="54" t="str">
        <f>IF(ROWS($B$14:B18)&gt;COUNTIF(LISTADO!$A$5:$A$23,LISTADO!$B$2)," ",VLOOKUP(B18,LISTADO!$B$5:$I$23,6,0))</f>
        <v>2.0 kg/m2 – 2.15 kg/m2 en espesor de 1 mm</v>
      </c>
      <c r="H18" s="43">
        <f>IF(ROWS($B$14:B18)&gt;COUNTIF(LISTADO!$A$5:$A$23,LISTADO!$B$2)," ",VLOOKUP(B18,LISTADO!$B$5:$I$23,7,0))</f>
        <v>28</v>
      </c>
      <c r="I18" s="44" t="str">
        <f>IF(ROWS($B$14:B18)&gt;COUNTIF(LISTADO!$A$5:$A$23,LISTADO!$B$2)," ",VLOOKUP(B18,LISTADO!$B$5:$I$23,8,0))</f>
        <v>kg</v>
      </c>
      <c r="J18" s="6" t="str">
        <f>IF(ROWS($B$14:B18)&gt;COUNTIF(LISTADO!$A$5:$A$23,LISTADO!$B$2)," ",ROUNDUP((IF(ROWS($B$14:B18)&gt;COUNTIF(LISTADO!$A$5:$A$23,LISTADO!$B$2)," ",VLOOKUP(B18,LISTADO!$B$5:$J$23,9,0))*$F$8*$F$5)/H18,0)&amp;" Bolsas")</f>
        <v>1 Bolsas</v>
      </c>
      <c r="K18" s="3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80.150000000000006" customHeight="1" thickBot="1" x14ac:dyDescent="0.3">
      <c r="B19" s="52" t="str">
        <f>IF(ROWS($B$14:B19)&gt;COUNTIF(LISTADO!$A$5:$A$23,LISTADO!$B$2)," ",INDEX(LISTADO!$A$5:$B$23,_xlfn.AGGREGATE(15,6,ROW(LISTADO!$A$5:$A$23)-ROW(LISTADO!$A$5)+1/--(LISTADO!$A$5:$A$23=LISTADO!$B$2),ROWS(LISTADO!$B$2:B7)),2))</f>
        <v>HARDTOP No. 12M FRIO</v>
      </c>
      <c r="C19" s="53" t="str">
        <f>IF(ROWS($B$14:B19)&gt;COUNTIF(LISTADO!$A$5:$A$23,LISTADO!$B$2)," ",VLOOKUP(B19,LISTADO!$B$5:$I$23,2,0))</f>
        <v>Mortero acrílico de dos componentes (A y B) y se emplea para nivelación de superficies de concreto, otorga terminados lisos y nivelados con excelentes resistencias a la abrasión. Aplicable en climas fríos</v>
      </c>
      <c r="D19" s="5" t="str">
        <f>IF(ROWS($B$14:B19)&gt;COUNTIF(LISTADO!$A$5:$A$23,LISTADO!$B$2)," ",VLOOKUP(B19,LISTADO!$B$5:$I$23,3,0))</f>
        <v xml:space="preserve">Mínimo 2063 psi a 7 días
</v>
      </c>
      <c r="E19" s="53" t="str">
        <f>IF(ROWS($B$14:B19)&gt;COUNTIF(LISTADO!$A$5:$A$23,LISTADO!$B$2)," ",VLOOKUP(B19,LISTADO!$B$5:$I$23,4,0))</f>
        <v>Entre 1 mm y 5 mm</v>
      </c>
      <c r="F19" s="6" t="str">
        <f>IF(ROWS($B$14:B19)&gt;COUNTIF(LISTADO!$A$5:$A$23,LISTADO!$B$2)," ",VLOOKUP(B19,LISTADO!$B$5:$I$23,5,0))</f>
        <v>18 horas</v>
      </c>
      <c r="G19" s="54" t="str">
        <f>IF(ROWS($B$14:B19)&gt;COUNTIF(LISTADO!$A$5:$A$23,LISTADO!$B$2)," ",VLOOKUP(B19,LISTADO!$B$5:$I$23,6,0))</f>
        <v>2.0 kg/m2 – 2.15 kg/m2 en espesor de 1 mm</v>
      </c>
      <c r="H19" s="43">
        <f>IF(ROWS($B$14:B19)&gt;COUNTIF(LISTADO!$A$5:$A$23,LISTADO!$B$2)," ",VLOOKUP(B19,LISTADO!$B$5:$I$23,7,0))</f>
        <v>32</v>
      </c>
      <c r="I19" s="44" t="str">
        <f>IF(ROWS($B$14:B19)&gt;COUNTIF(LISTADO!$A$5:$A$23,LISTADO!$B$2)," ",VLOOKUP(B19,LISTADO!$B$5:$I$23,8,0))</f>
        <v>kg</v>
      </c>
      <c r="J19" s="6" t="str">
        <f>IF(ROWS($B$14:B19)&gt;COUNTIF(LISTADO!$A$5:$A$23,LISTADO!$B$2)," ",ROUNDUP((IF(ROWS($B$14:B19)&gt;COUNTIF(LISTADO!$A$5:$A$23,LISTADO!$B$2)," ",VLOOKUP(B19,LISTADO!$B$5:$J$23,9,0))*$F$8*$F$5)/H19,0)&amp;" Bolsas")</f>
        <v>1 Bolsas</v>
      </c>
      <c r="K19" s="3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80.150000000000006" customHeight="1" thickBot="1" x14ac:dyDescent="0.3">
      <c r="B20" s="52" t="str">
        <f>IF(ROWS($B$14:B20)&gt;COUNTIF(LISTADO!$A$5:$A$23,LISTADO!$B$2)," ",INDEX(LISTADO!$A$5:$B$23,_xlfn.AGGREGATE(15,6,ROW(LISTADO!$A$5:$A$23)-ROW(LISTADO!$A$5)+1/--(LISTADO!$A$5:$A$23=LISTADO!$B$2),ROWS(LISTADO!$B$2:B8)),2))</f>
        <v>HARDTOP No. 2  FRIO</v>
      </c>
      <c r="C20" s="53" t="str">
        <f>IF(ROWS($B$14:B20)&gt;COUNTIF(LISTADO!$A$5:$A$23,LISTADO!$B$2)," ",VLOOKUP(B20,LISTADO!$B$5:$I$23,2,0))</f>
        <v>Mortero acrílico de dos componentes (A y B) que se mezclan antes de su aplicación, recomendado para reparaciones de tipo estructural en superficies horizontales o verticales. Aplicable en climas cálidos</v>
      </c>
      <c r="D20" s="5" t="str">
        <f>IF(ROWS($B$14:B20)&gt;COUNTIF(LISTADO!$A$5:$A$23,LISTADO!$B$2)," ",VLOOKUP(B20,LISTADO!$B$5:$I$23,3,0))</f>
        <v xml:space="preserve">Mínimo 1400 psi a 1 día
Mínimo 3100 psi a 3 días
Mínimo 4000 psi a 7 días
Mínimo 6000 psi a 28 días
</v>
      </c>
      <c r="E20" s="53" t="str">
        <f>IF(ROWS($B$14:B20)&gt;COUNTIF(LISTADO!$A$5:$A$23,LISTADO!$B$2)," ",VLOOKUP(B20,LISTADO!$B$5:$I$23,4,0))</f>
        <v>Entre 10 mm y 40 mm</v>
      </c>
      <c r="F20" s="6" t="str">
        <f>IF(ROWS($B$14:B20)&gt;COUNTIF(LISTADO!$A$5:$A$23,LISTADO!$B$2)," ",VLOOKUP(B20,LISTADO!$B$5:$I$23,5,0))</f>
        <v>24 horas</v>
      </c>
      <c r="G20" s="54" t="str">
        <f>IF(ROWS($B$14:B20)&gt;COUNTIF(LISTADO!$A$5:$A$23,LISTADO!$B$2)," ",VLOOKUP(B20,LISTADO!$B$5:$I$23,6,0))</f>
        <v>21.5 kg/m2 a 24 kg/m2 para un espesor de 1 cm.</v>
      </c>
      <c r="H20" s="43">
        <f>IF(ROWS($B$14:B20)&gt;COUNTIF(LISTADO!$A$5:$A$23,LISTADO!$B$2)," ",VLOOKUP(B20,LISTADO!$B$5:$I$23,7,0))</f>
        <v>32</v>
      </c>
      <c r="I20" s="44" t="str">
        <f>IF(ROWS($B$14:B20)&gt;COUNTIF(LISTADO!$A$5:$A$23,LISTADO!$B$2)," ",VLOOKUP(B20,LISTADO!$B$5:$I$23,8,0))</f>
        <v>kg</v>
      </c>
      <c r="J20" s="6" t="str">
        <f>IF(ROWS($B$14:B20)&gt;COUNTIF(LISTADO!$A$5:$A$23,LISTADO!$B$2)," ",ROUNDUP((IF(ROWS($B$14:B20)&gt;COUNTIF(LISTADO!$A$5:$A$23,LISTADO!$B$2)," ",VLOOKUP(B20,LISTADO!$B$5:$J$23,9,0))*$F$8*$F$5)/H20,0)&amp;" Bolsas")</f>
        <v>1 Bolsas</v>
      </c>
      <c r="K20" s="3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80.150000000000006" customHeight="1" thickBot="1" x14ac:dyDescent="0.3">
      <c r="B21" s="52" t="str">
        <f>IF(ROWS($B$14:B21)&gt;COUNTIF(LISTADO!$A$5:$A$23,LISTADO!$B$2)," ",INDEX(LISTADO!$A$5:$B$23,_xlfn.AGGREGATE(15,6,ROW(LISTADO!$A$5:$A$23)-ROW(LISTADO!$A$5)+1/--(LISTADO!$A$5:$A$23=LISTADO!$B$2),ROWS(LISTADO!$B$2:B9)),2))</f>
        <v>HARDTOP No. 2 CALIDO</v>
      </c>
      <c r="C21" s="53" t="str">
        <f>IF(ROWS($B$14:B21)&gt;COUNTIF(LISTADO!$A$5:$A$23,LISTADO!$B$2)," ",VLOOKUP(B21,LISTADO!$B$5:$I$23,2,0))</f>
        <v>Mortero acrílico de dos componentes (A y B) que se mezclan antes de su aplicación, recomendado para reparaciones de tipo estructural en superficies horizontales o verticales. Aplicable en climas fríos.</v>
      </c>
      <c r="D21" s="5" t="str">
        <f>IF(ROWS($B$14:B21)&gt;COUNTIF(LISTADO!$A$5:$A$23,LISTADO!$B$2)," ",VLOOKUP(B21,LISTADO!$B$5:$I$23,3,0))</f>
        <v xml:space="preserve">Mínimo 1400 psi a 1 día
Mínimo 3100 psi a 3 días
Mínimo 4000 psi a 7 días
Mínimo 6000 psi a 28 días
</v>
      </c>
      <c r="E21" s="53" t="str">
        <f>IF(ROWS($B$14:B21)&gt;COUNTIF(LISTADO!$A$5:$A$23,LISTADO!$B$2)," ",VLOOKUP(B21,LISTADO!$B$5:$I$23,4,0))</f>
        <v>Entre 10 mm y 40 mm</v>
      </c>
      <c r="F21" s="6" t="str">
        <f>IF(ROWS($B$14:B21)&gt;COUNTIF(LISTADO!$A$5:$A$23,LISTADO!$B$2)," ",VLOOKUP(B21,LISTADO!$B$5:$I$23,5,0))</f>
        <v>24 horas</v>
      </c>
      <c r="G21" s="54" t="str">
        <f>IF(ROWS($B$14:B21)&gt;COUNTIF(LISTADO!$A$5:$A$23,LISTADO!$B$2)," ",VLOOKUP(B21,LISTADO!$B$5:$I$23,6,0))</f>
        <v>21.5 kg/m2 a 24 kg/m2 para un espesor de 1 cm.</v>
      </c>
      <c r="H21" s="43">
        <f>IF(ROWS($B$14:B21)&gt;COUNTIF(LISTADO!$A$5:$A$23,LISTADO!$B$2)," ",VLOOKUP(B21,LISTADO!$B$5:$I$23,7,0))</f>
        <v>30</v>
      </c>
      <c r="I21" s="44" t="str">
        <f>IF(ROWS($B$14:B21)&gt;COUNTIF(LISTADO!$A$5:$A$23,LISTADO!$B$2)," ",VLOOKUP(B21,LISTADO!$B$5:$I$23,8,0))</f>
        <v>kg</v>
      </c>
      <c r="J21" s="6" t="str">
        <f>IF(ROWS($B$14:B21)&gt;COUNTIF(LISTADO!$A$5:$A$23,LISTADO!$B$2)," ",ROUNDUP((IF(ROWS($B$14:B21)&gt;COUNTIF(LISTADO!$A$5:$A$23,LISTADO!$B$2)," ",VLOOKUP(B21,LISTADO!$B$5:$J$23,9,0))*$F$8*$F$5)/H21,0)&amp;" Bolsas")</f>
        <v>1 Bolsas</v>
      </c>
      <c r="K21" s="3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80.150000000000006" customHeight="1" thickBot="1" x14ac:dyDescent="0.3">
      <c r="B22" s="52" t="str">
        <f>IF(ROWS($B$14:B22)&gt;COUNTIF(LISTADO!$A$5:$A$23,LISTADO!$B$2)," ",INDEX(LISTADO!$A$5:$B$23,_xlfn.AGGREGATE(15,6,ROW(LISTADO!$A$5:$A$23)-ROW(LISTADO!$A$5)+1/--(LISTADO!$A$5:$A$23=LISTADO!$B$2),ROWS(LISTADO!$B$2:B10)),2))</f>
        <v>HARDTOP No. 2 SM CALIDO</v>
      </c>
      <c r="C22" s="53" t="str">
        <f>IF(ROWS($B$14:B22)&gt;COUNTIF(LISTADO!$A$5:$A$23,LISTADO!$B$2)," ",VLOOKUP(B22,LISTADO!$B$5:$I$23,2,0))</f>
        <v>Mortero acrílico de dos componentes diseñado para reparaciones de tipo estructural en superficies horizontales o verticales, especialmente formulado para suministrar protección contra la corrosión. Aplicable en climas cálidos</v>
      </c>
      <c r="D22" s="5" t="str">
        <f>IF(ROWS($B$14:B22)&gt;COUNTIF(LISTADO!$A$5:$A$23,LISTADO!$B$2)," ",VLOOKUP(B22,LISTADO!$B$5:$I$23,3,0))</f>
        <v xml:space="preserve">Mínimo 1400 psi a 1 día
Mínimo 3100 psi a 3 días
Mínimo 4000 psi a 7 días
Mínimo 6000 psi a 28 días
</v>
      </c>
      <c r="E22" s="53" t="str">
        <f>IF(ROWS($B$14:B22)&gt;COUNTIF(LISTADO!$A$5:$A$23,LISTADO!$B$2)," ",VLOOKUP(B22,LISTADO!$B$5:$I$23,4,0))</f>
        <v>Entre 10 mm y 40 mm</v>
      </c>
      <c r="F22" s="6" t="str">
        <f>IF(ROWS($B$14:B22)&gt;COUNTIF(LISTADO!$A$5:$A$23,LISTADO!$B$2)," ",VLOOKUP(B22,LISTADO!$B$5:$I$23,5,0))</f>
        <v>24 horas</v>
      </c>
      <c r="G22" s="54" t="str">
        <f>IF(ROWS($B$14:B22)&gt;COUNTIF(LISTADO!$A$5:$A$23,LISTADO!$B$2)," ",VLOOKUP(B22,LISTADO!$B$5:$I$23,6,0))</f>
        <v>21.5 kg/m2 a 24 kg/m2 para un espesor de 1 cm.</v>
      </c>
      <c r="H22" s="43">
        <f>IF(ROWS($B$14:B22)&gt;COUNTIF(LISTADO!$A$5:$A$23,LISTADO!$B$2)," ",VLOOKUP(B22,LISTADO!$B$5:$I$23,7,0))</f>
        <v>30</v>
      </c>
      <c r="I22" s="44" t="str">
        <f>IF(ROWS($B$14:B22)&gt;COUNTIF(LISTADO!$A$5:$A$23,LISTADO!$B$2)," ",VLOOKUP(B22,LISTADO!$B$5:$I$23,8,0))</f>
        <v>kg</v>
      </c>
      <c r="J22" s="6" t="str">
        <f>IF(ROWS($B$14:B22)&gt;COUNTIF(LISTADO!$A$5:$A$23,LISTADO!$B$2)," ",ROUNDUP((IF(ROWS($B$14:B22)&gt;COUNTIF(LISTADO!$A$5:$A$23,LISTADO!$B$2)," ",VLOOKUP(B22,LISTADO!$B$5:$J$23,9,0))*$F$8*$F$5)/H22,0)&amp;" Bolsas")</f>
        <v>1 Bolsas</v>
      </c>
      <c r="K22" s="3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80.150000000000006" customHeight="1" thickBot="1" x14ac:dyDescent="0.3">
      <c r="B23" s="52" t="str">
        <f>IF(ROWS($B$14:B23)&gt;COUNTIF(LISTADO!$A$5:$A$23,LISTADO!$B$2)," ",INDEX(LISTADO!$A$5:$B$23,_xlfn.AGGREGATE(15,6,ROW(LISTADO!$A$5:$A$23)-ROW(LISTADO!$A$5)+1/--(LISTADO!$A$5:$A$23=LISTADO!$B$2),ROWS(LISTADO!$B$2:B11)),2))</f>
        <v>THIN TOP SUPREME</v>
      </c>
      <c r="C23" s="53" t="str">
        <f>IF(ROWS($B$14:B23)&gt;COUNTIF(LISTADO!$A$5:$A$23,LISTADO!$B$2)," ",VLOOKUP(B23,LISTADO!$B$5:$I$23,2,0))</f>
        <v xml:space="preserve">Mortero acrílico monocomponente para recubrimientos horizontales de bajo espesor </v>
      </c>
      <c r="D23" s="5" t="str">
        <f>IF(ROWS($B$14:B23)&gt;COUNTIF(LISTADO!$A$5:$A$23,LISTADO!$B$2)," ",VLOOKUP(B23,LISTADO!$B$5:$I$23,3,0))</f>
        <v xml:space="preserve">Mínimo 2500 psi a 3 días
Mínimo 3200 psi a 7 días
Mínimo 4500 psi a 28 días
</v>
      </c>
      <c r="E23" s="53" t="str">
        <f>IF(ROWS($B$14:B23)&gt;COUNTIF(LISTADO!$A$5:$A$23,LISTADO!$B$2)," ",VLOOKUP(B23,LISTADO!$B$5:$I$23,4,0))</f>
        <v>Entre 1.6 mm y 10 mm</v>
      </c>
      <c r="F23" s="6" t="str">
        <f>IF(ROWS($B$14:B23)&gt;COUNTIF(LISTADO!$A$5:$A$23,LISTADO!$B$2)," ",VLOOKUP(B23,LISTADO!$B$5:$I$23,5,0))</f>
        <v>72 horas</v>
      </c>
      <c r="G23" s="54" t="str">
        <f>IF(ROWS($B$14:B23)&gt;COUNTIF(LISTADO!$A$5:$A$23,LISTADO!$B$2)," ",VLOOKUP(B23,LISTADO!$B$5:$I$23,6,0))</f>
        <v>1.9 kg/m2 – 2 kg/m2 en espesor de 1 mm</v>
      </c>
      <c r="H23" s="43">
        <f>IF(ROWS($B$14:B23)&gt;COUNTIF(LISTADO!$A$5:$A$23,LISTADO!$B$2)," ",VLOOKUP(B23,LISTADO!$B$5:$I$23,7,0))</f>
        <v>25</v>
      </c>
      <c r="I23" s="44" t="str">
        <f>IF(ROWS($B$14:B23)&gt;COUNTIF(LISTADO!$A$5:$A$23,LISTADO!$B$2)," ",VLOOKUP(B23,LISTADO!$B$5:$I$23,8,0))</f>
        <v>kg</v>
      </c>
      <c r="J23" s="6" t="str">
        <f>IF(ROWS($B$14:B23)&gt;COUNTIF(LISTADO!$A$5:$A$23,LISTADO!$B$2)," ",ROUNDUP((IF(ROWS($B$14:B23)&gt;COUNTIF(LISTADO!$A$5:$A$23,LISTADO!$B$2)," ",VLOOKUP(B23,LISTADO!$B$5:$J$23,9,0))*$F$8*$F$5)/H23,0)&amp;" Bolsas")</f>
        <v>1 Bolsas</v>
      </c>
      <c r="K23" s="3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80.150000000000006" customHeight="1" thickBot="1" x14ac:dyDescent="0.35">
      <c r="B24" s="52" t="str">
        <f>IF(ROWS($B$14:B24)&gt;COUNTIF(LISTADO!$A$5:$A$23,LISTADO!$B$2)," ",INDEX(LISTADO!$A$5:$B$23,_xlfn.AGGREGATE(15,6,ROW(LISTADO!$A$5:$A$23)-ROW(LISTADO!$A$5)+1/--(LISTADO!$A$5:$A$23=LISTADO!$B$2),ROWS(LISTADO!$B$2:B12)),2))</f>
        <v xml:space="preserve"> </v>
      </c>
      <c r="C24" s="53" t="str">
        <f>IF(ROWS($B$14:B24)&gt;COUNTIF(LISTADO!$A$5:$A$23,LISTADO!$B$2)," ",VLOOKUP(B24,LISTADO!$B$5:$I$23,2,0))</f>
        <v xml:space="preserve"> </v>
      </c>
      <c r="D24" s="5" t="str">
        <f>IF(ROWS($B$14:B24)&gt;COUNTIF(LISTADO!$A$5:$A$23,LISTADO!$B$2)," ",VLOOKUP(B24,LISTADO!$B$5:$I$23,3,0))</f>
        <v xml:space="preserve"> </v>
      </c>
      <c r="E24" s="53" t="str">
        <f>IF(ROWS($B$14:B24)&gt;COUNTIF(LISTADO!$A$5:$A$23,LISTADO!$B$2)," ",VLOOKUP(B24,LISTADO!$B$5:$I$23,4,0))</f>
        <v xml:space="preserve"> </v>
      </c>
      <c r="F24" s="6" t="str">
        <f>IF(ROWS($B$14:B24)&gt;COUNTIF(LISTADO!$A$5:$A$23,LISTADO!$B$2)," ",VLOOKUP(B24,LISTADO!$B$5:$I$23,5,0))</f>
        <v xml:space="preserve"> </v>
      </c>
      <c r="G24" s="54" t="str">
        <f>IF(ROWS($B$14:B24)&gt;COUNTIF(LISTADO!$A$5:$A$23,LISTADO!$B$2)," ",VLOOKUP(B24,LISTADO!$B$5:$I$23,6,0))</f>
        <v xml:space="preserve"> </v>
      </c>
      <c r="H24" s="43" t="str">
        <f>IF(ROWS($B$14:B24)&gt;COUNTIF(LISTADO!$A$5:$A$23,LISTADO!$B$2)," ",VLOOKUP(B24,LISTADO!$B$5:$I$23,7,0))</f>
        <v xml:space="preserve"> </v>
      </c>
      <c r="I24" s="44" t="str">
        <f>IF(ROWS($B$14:B24)&gt;COUNTIF(LISTADO!$A$5:$A$23,LISTADO!$B$2)," ",VLOOKUP(B24,LISTADO!$B$5:$I$23,8,0))</f>
        <v xml:space="preserve"> </v>
      </c>
      <c r="J24" s="6" t="str">
        <f>IF(ROWS($B$14:B24)&gt;COUNTIF(LISTADO!$A$5:$A$23,LISTADO!$B$2)," ",ROUNDUP((IF(ROWS($B$14:B24)&gt;COUNTIF(LISTADO!$A$5:$A$23,LISTADO!$B$2)," ",VLOOKUP(B24,LISTADO!$B$5:$J$23,9,0))*$F$8*$F$5)/H24,0)&amp;" Bolsas")</f>
        <v xml:space="preserve"> </v>
      </c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80.150000000000006" customHeight="1" thickBot="1" x14ac:dyDescent="0.35">
      <c r="B25" s="52" t="str">
        <f>IF(ROWS($B$14:B25)&gt;COUNTIF(LISTADO!$A$5:$A$23,LISTADO!$B$2)," ",INDEX(LISTADO!$A$5:$B$23,_xlfn.AGGREGATE(15,6,ROW(LISTADO!$A$5:$A$23)-ROW(LISTADO!$A$5)+1/--(LISTADO!$A$5:$A$23=LISTADO!$B$2),ROWS(LISTADO!$B$2:B13)),2))</f>
        <v xml:space="preserve"> </v>
      </c>
      <c r="C25" s="53" t="str">
        <f>IF(ROWS($B$14:B25)&gt;COUNTIF(LISTADO!$A$5:$A$23,LISTADO!$B$2)," ",VLOOKUP(B25,LISTADO!$B$5:$I$23,2,0))</f>
        <v xml:space="preserve"> </v>
      </c>
      <c r="D25" s="5" t="str">
        <f>IF(ROWS($B$14:B25)&gt;COUNTIF(LISTADO!$A$5:$A$23,LISTADO!$B$2)," ",VLOOKUP(B25,LISTADO!$B$5:$I$23,3,0))</f>
        <v xml:space="preserve"> </v>
      </c>
      <c r="E25" s="53" t="str">
        <f>IF(ROWS($B$14:B25)&gt;COUNTIF(LISTADO!$A$5:$A$23,LISTADO!$B$2)," ",VLOOKUP(B25,LISTADO!$B$5:$I$23,4,0))</f>
        <v xml:space="preserve"> </v>
      </c>
      <c r="F25" s="6" t="str">
        <f>IF(ROWS($B$14:B25)&gt;COUNTIF(LISTADO!$A$5:$A$23,LISTADO!$B$2)," ",VLOOKUP(B25,LISTADO!$B$5:$I$23,5,0))</f>
        <v xml:space="preserve"> </v>
      </c>
      <c r="G25" s="54" t="str">
        <f>IF(ROWS($B$14:B25)&gt;COUNTIF(LISTADO!$A$5:$A$23,LISTADO!$B$2)," ",VLOOKUP(B25,LISTADO!$B$5:$I$23,6,0))</f>
        <v xml:space="preserve"> </v>
      </c>
      <c r="H25" s="43" t="str">
        <f>IF(ROWS($B$14:B25)&gt;COUNTIF(LISTADO!$A$5:$A$23,LISTADO!$B$2)," ",VLOOKUP(B25,LISTADO!$B$5:$I$23,7,0))</f>
        <v xml:space="preserve"> </v>
      </c>
      <c r="I25" s="44" t="str">
        <f>IF(ROWS($B$14:B25)&gt;COUNTIF(LISTADO!$A$5:$A$23,LISTADO!$B$2)," ",VLOOKUP(B25,LISTADO!$B$5:$I$23,8,0))</f>
        <v xml:space="preserve"> </v>
      </c>
      <c r="J25" s="6" t="str">
        <f>IF(ROWS($B$14:B25)&gt;COUNTIF(LISTADO!$A$5:$A$23,LISTADO!$B$2)," ",ROUNDUP((IF(ROWS($B$14:B25)&gt;COUNTIF(LISTADO!$A$5:$A$23,LISTADO!$B$2)," ",VLOOKUP(B25,LISTADO!$B$5:$J$23,9,0))*$F$8*$F$5)/H25,0)&amp;" Bolsas")</f>
        <v xml:space="preserve"> </v>
      </c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14.5" thickBot="1" x14ac:dyDescent="0.35">
      <c r="B26" s="91"/>
      <c r="C26" s="14"/>
      <c r="D26" s="14"/>
      <c r="E26" s="14"/>
      <c r="F26" s="92"/>
      <c r="G26" s="14"/>
      <c r="H26" s="93"/>
      <c r="I26" s="14"/>
      <c r="J26" s="9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21.65" customHeight="1" thickBot="1" x14ac:dyDescent="0.35">
      <c r="B27" s="104" t="s">
        <v>99</v>
      </c>
      <c r="C27" s="105"/>
      <c r="D27" s="105"/>
      <c r="E27" s="105"/>
      <c r="F27" s="105"/>
      <c r="G27" s="105"/>
      <c r="H27" s="105"/>
      <c r="I27" s="105"/>
      <c r="J27" s="106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48" customHeight="1" x14ac:dyDescent="0.3">
      <c r="B28" s="107" t="s">
        <v>110</v>
      </c>
      <c r="C28" s="108"/>
      <c r="D28" s="108"/>
      <c r="E28" s="108"/>
      <c r="F28" s="108"/>
      <c r="G28" s="108"/>
      <c r="H28" s="108"/>
      <c r="I28" s="108"/>
      <c r="J28" s="109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26.5" customHeight="1" x14ac:dyDescent="0.3">
      <c r="B29" s="72" t="s">
        <v>100</v>
      </c>
      <c r="C29" s="73"/>
      <c r="D29" s="73"/>
      <c r="E29" s="73"/>
      <c r="F29" s="73"/>
      <c r="G29" s="73"/>
      <c r="H29" s="73"/>
      <c r="I29" s="73"/>
      <c r="J29" s="7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29.5" customHeight="1" x14ac:dyDescent="0.3">
      <c r="B30" s="128" t="s">
        <v>104</v>
      </c>
      <c r="C30" s="129"/>
      <c r="D30" s="129"/>
      <c r="E30" s="130" t="s">
        <v>103</v>
      </c>
      <c r="F30" s="130"/>
      <c r="G30" s="130"/>
      <c r="H30" s="130"/>
      <c r="I30" s="130"/>
      <c r="J30" s="131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20.5" customHeight="1" x14ac:dyDescent="0.3">
      <c r="B31" s="122" t="s">
        <v>101</v>
      </c>
      <c r="C31" s="123"/>
      <c r="D31" s="123"/>
      <c r="E31" s="123"/>
      <c r="F31" s="123"/>
      <c r="G31" s="123"/>
      <c r="H31" s="123"/>
      <c r="I31" s="123"/>
      <c r="J31" s="12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32.5" customHeight="1" thickBot="1" x14ac:dyDescent="0.35">
      <c r="B32" s="125" t="s">
        <v>111</v>
      </c>
      <c r="C32" s="126"/>
      <c r="D32" s="126"/>
      <c r="E32" s="126"/>
      <c r="F32" s="126"/>
      <c r="G32" s="126"/>
      <c r="H32" s="126"/>
      <c r="I32" s="126"/>
      <c r="J32" s="127"/>
      <c r="L32" s="14"/>
      <c r="M32" s="14"/>
      <c r="N32" s="14"/>
      <c r="O32" s="14"/>
      <c r="P32" s="14"/>
      <c r="Q32" s="14"/>
      <c r="R32" s="14"/>
      <c r="S32" s="14"/>
      <c r="T32" s="14"/>
    </row>
    <row r="33" spans="2:10" ht="14.5" thickBot="1" x14ac:dyDescent="0.35">
      <c r="B33" s="69" t="s">
        <v>102</v>
      </c>
      <c r="C33" s="70"/>
      <c r="D33" s="70"/>
      <c r="E33" s="70"/>
      <c r="F33" s="70"/>
      <c r="G33" s="70"/>
      <c r="H33" s="70"/>
      <c r="I33" s="70"/>
      <c r="J33" s="71"/>
    </row>
    <row r="34" spans="2:10" x14ac:dyDescent="0.3">
      <c r="B34" s="86"/>
      <c r="C34" s="87"/>
      <c r="D34" s="87"/>
      <c r="E34" s="87"/>
      <c r="F34" s="88"/>
      <c r="G34" s="87"/>
      <c r="H34" s="89"/>
      <c r="I34" s="87"/>
      <c r="J34" s="90"/>
    </row>
    <row r="35" spans="2:10" x14ac:dyDescent="0.3">
      <c r="B35" s="91"/>
      <c r="C35" s="14"/>
      <c r="D35" s="14"/>
      <c r="E35" s="14"/>
      <c r="F35" s="92"/>
      <c r="G35" s="14"/>
      <c r="H35" s="93"/>
      <c r="I35" s="14"/>
      <c r="J35" s="94"/>
    </row>
    <row r="36" spans="2:10" x14ac:dyDescent="0.3">
      <c r="B36" s="91"/>
      <c r="C36" s="14"/>
      <c r="D36" s="14"/>
      <c r="E36" s="14"/>
      <c r="F36" s="92"/>
      <c r="G36" s="14"/>
      <c r="H36" s="93"/>
      <c r="I36" s="14"/>
      <c r="J36" s="94"/>
    </row>
    <row r="37" spans="2:10" x14ac:dyDescent="0.3">
      <c r="B37" s="91"/>
      <c r="C37" s="14"/>
      <c r="D37" s="14"/>
      <c r="E37" s="14"/>
      <c r="F37" s="92"/>
      <c r="G37" s="14"/>
      <c r="H37" s="93"/>
      <c r="I37" s="14"/>
      <c r="J37" s="94"/>
    </row>
    <row r="38" spans="2:10" x14ac:dyDescent="0.3">
      <c r="B38" s="91"/>
      <c r="C38" s="14"/>
      <c r="D38" s="14"/>
      <c r="E38" s="14"/>
      <c r="F38" s="92"/>
      <c r="G38" s="14"/>
      <c r="H38" s="93"/>
      <c r="I38" s="14"/>
      <c r="J38" s="94"/>
    </row>
    <row r="39" spans="2:10" x14ac:dyDescent="0.3">
      <c r="B39" s="91"/>
      <c r="C39" s="14"/>
      <c r="D39" s="14"/>
      <c r="E39" s="14"/>
      <c r="F39" s="92"/>
      <c r="G39" s="14"/>
      <c r="H39" s="93"/>
      <c r="I39" s="14"/>
      <c r="J39" s="94"/>
    </row>
    <row r="40" spans="2:10" ht="127" customHeight="1" thickBot="1" x14ac:dyDescent="0.35">
      <c r="B40" s="95"/>
      <c r="C40" s="96"/>
      <c r="D40" s="96"/>
      <c r="E40" s="96"/>
      <c r="F40" s="97"/>
      <c r="G40" s="96"/>
      <c r="H40" s="98"/>
      <c r="I40" s="96"/>
      <c r="J40" s="99"/>
    </row>
    <row r="41" spans="2:10" ht="12.65" customHeight="1" x14ac:dyDescent="0.3"/>
    <row r="42" spans="2:10" hidden="1" x14ac:dyDescent="0.3"/>
    <row r="43" spans="2:10" hidden="1" x14ac:dyDescent="0.3"/>
    <row r="44" spans="2:10" hidden="1" x14ac:dyDescent="0.3"/>
    <row r="45" spans="2:10" hidden="1" x14ac:dyDescent="0.3"/>
    <row r="46" spans="2:10" hidden="1" x14ac:dyDescent="0.3"/>
    <row r="47" spans="2:10" hidden="1" x14ac:dyDescent="0.3"/>
    <row r="48" spans="2:10" ht="57" hidden="1" customHeight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</sheetData>
  <sheetProtection algorithmName="SHA-512" hashValue="QgI9725yd/M0FixV06YNR5ieMsnaUXNXt9JgTw9b+MZNvx5j8JRrzJRv0QL1376EeFOPaUpjywli1RkeaMM6Nw==" saltValue="qTtq0tGSiCf8u+tQhvDHQg==" spinCount="100000" sheet="1" objects="1" scenarios="1"/>
  <mergeCells count="13">
    <mergeCell ref="B31:J31"/>
    <mergeCell ref="B32:J32"/>
    <mergeCell ref="B30:D30"/>
    <mergeCell ref="E30:J30"/>
    <mergeCell ref="E9:G9"/>
    <mergeCell ref="E3:G3"/>
    <mergeCell ref="B27:J27"/>
    <mergeCell ref="B28:J28"/>
    <mergeCell ref="E4:G4"/>
    <mergeCell ref="H13:I13"/>
    <mergeCell ref="B12:J12"/>
    <mergeCell ref="H5:J8"/>
    <mergeCell ref="E10:G10"/>
  </mergeCells>
  <dataValidations count="2">
    <dataValidation allowBlank="1" showErrorMessage="1" errorTitle="Error" error="El valor del ancho debe ser entre 1 a 3 cm" prompt="Recuerde que este valor debe ir entre 1 a 3 cm" sqref="F5"/>
    <dataValidation allowBlank="1" showInputMessage="1" showErrorMessage="1" errorTitle="Error" error="El valor de profunidad debe ser entre 1 a 3 cm" sqref="F6"/>
  </dataValidations>
  <hyperlinks>
    <hyperlink ref="E30:J30" r:id="rId1" display="http://www.toxement.com.co/zona-t%C3%A9cnica/hojas-t%C3%A9cnicas-y-de-seguridad/"/>
    <hyperlink ref="E30" r:id="rId2"/>
    <hyperlink ref="E10" r:id="rId3"/>
  </hyperlink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4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N27"/>
  <sheetViews>
    <sheetView showGridLines="0" showRowColHeaders="0" zoomScale="75" zoomScaleNormal="75" workbookViewId="0"/>
  </sheetViews>
  <sheetFormatPr baseColWidth="10" defaultColWidth="0" defaultRowHeight="14.5" zeroHeight="1" x14ac:dyDescent="0.35"/>
  <cols>
    <col min="1" max="13" width="10.81640625" customWidth="1"/>
    <col min="14" max="14" width="13.453125" customWidth="1"/>
    <col min="15" max="16384" width="10.8164062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</sheetData>
  <sheetProtection algorithmName="SHA-512" hashValue="YGP4n7oFNeJvIM5lEwfMRWwhpLBrnPthoaEFvznJeRRws9G98QEmXTrU1Vl250hp6XDY4p9gHS2CiL/WDine0Q==" saltValue="dk6f3EtDRipCMnTOLrllOg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8" zoomScale="75" zoomScaleNormal="75" workbookViewId="0">
      <selection activeCell="J23" sqref="J23"/>
    </sheetView>
  </sheetViews>
  <sheetFormatPr baseColWidth="10" defaultRowHeight="14.5" x14ac:dyDescent="0.35"/>
  <cols>
    <col min="1" max="1" width="23.1796875" bestFit="1" customWidth="1"/>
    <col min="2" max="2" width="15.54296875" bestFit="1" customWidth="1"/>
    <col min="3" max="3" width="45.54296875" bestFit="1" customWidth="1"/>
    <col min="4" max="4" width="24.7265625" bestFit="1" customWidth="1"/>
    <col min="5" max="5" width="14" bestFit="1" customWidth="1"/>
    <col min="6" max="6" width="8.1796875" bestFit="1" customWidth="1"/>
    <col min="7" max="7" width="26.81640625" bestFit="1" customWidth="1"/>
    <col min="8" max="8" width="14" style="57" bestFit="1" customWidth="1"/>
    <col min="9" max="9" width="7.81640625" style="57" bestFit="1" customWidth="1"/>
    <col min="10" max="10" width="22.26953125" style="58" customWidth="1"/>
  </cols>
  <sheetData>
    <row r="1" spans="1:10" x14ac:dyDescent="0.35">
      <c r="A1" s="25" t="s">
        <v>23</v>
      </c>
      <c r="B1" s="26">
        <f>'REPARACIONES HORIZONTALES'!F5</f>
        <v>2</v>
      </c>
      <c r="C1" s="19"/>
      <c r="D1" s="19"/>
      <c r="E1" s="19"/>
      <c r="F1" s="38"/>
      <c r="G1" s="19"/>
      <c r="H1" s="38"/>
      <c r="I1" s="39"/>
    </row>
    <row r="2" spans="1:10" ht="15" thickBot="1" x14ac:dyDescent="0.4">
      <c r="A2" s="27" t="s">
        <v>25</v>
      </c>
      <c r="B2" s="28" t="s">
        <v>24</v>
      </c>
      <c r="C2" s="29"/>
      <c r="D2" s="29"/>
      <c r="E2" s="29"/>
      <c r="F2" s="50"/>
      <c r="G2" s="29"/>
      <c r="H2" s="50"/>
      <c r="I2" s="39"/>
    </row>
    <row r="3" spans="1:10" ht="15" thickBot="1" x14ac:dyDescent="0.4">
      <c r="A3" s="75" t="s">
        <v>29</v>
      </c>
      <c r="B3" s="49">
        <f>COUNTIF(A5:A23,"APLICA")</f>
        <v>10</v>
      </c>
      <c r="C3" s="29"/>
      <c r="D3" s="29"/>
      <c r="E3" s="29"/>
      <c r="F3" s="50"/>
      <c r="G3" s="29"/>
      <c r="H3" s="50"/>
      <c r="I3" s="39"/>
    </row>
    <row r="4" spans="1:10" s="57" customFormat="1" ht="25" x14ac:dyDescent="0.35">
      <c r="A4" s="76" t="s">
        <v>25</v>
      </c>
      <c r="B4" s="77" t="s">
        <v>0</v>
      </c>
      <c r="C4" s="15" t="s">
        <v>1</v>
      </c>
      <c r="D4" s="15" t="s">
        <v>32</v>
      </c>
      <c r="E4" s="16" t="s">
        <v>26</v>
      </c>
      <c r="F4" s="16" t="s">
        <v>27</v>
      </c>
      <c r="G4" s="16" t="s">
        <v>2</v>
      </c>
      <c r="H4" s="17" t="s">
        <v>28</v>
      </c>
      <c r="I4" s="17" t="s">
        <v>30</v>
      </c>
      <c r="J4" s="17" t="s">
        <v>96</v>
      </c>
    </row>
    <row r="5" spans="1:10" ht="80.150000000000006" customHeight="1" x14ac:dyDescent="0.35">
      <c r="A5" s="78" t="str">
        <f>IF($B$1&gt;50,"-",IF($B$1&lt;10,"-","APLICA"))</f>
        <v>-</v>
      </c>
      <c r="B5" s="20" t="s">
        <v>40</v>
      </c>
      <c r="C5" s="18" t="s">
        <v>41</v>
      </c>
      <c r="D5" s="18" t="s">
        <v>42</v>
      </c>
      <c r="E5" s="18" t="s">
        <v>43</v>
      </c>
      <c r="F5" s="37" t="s">
        <v>93</v>
      </c>
      <c r="G5" s="22" t="s">
        <v>73</v>
      </c>
      <c r="H5" s="40">
        <v>30</v>
      </c>
      <c r="I5" s="40" t="s">
        <v>19</v>
      </c>
      <c r="J5" s="60">
        <v>2.5</v>
      </c>
    </row>
    <row r="6" spans="1:10" ht="80.150000000000006" customHeight="1" x14ac:dyDescent="0.35">
      <c r="A6" s="78" t="str">
        <f>IF($B$1&gt;150,"-",IF($B$1&lt;25,"-","APLICA"))</f>
        <v>-</v>
      </c>
      <c r="B6" s="20" t="s">
        <v>47</v>
      </c>
      <c r="C6" s="18" t="s">
        <v>48</v>
      </c>
      <c r="D6" s="18" t="s">
        <v>49</v>
      </c>
      <c r="E6" s="18" t="s">
        <v>50</v>
      </c>
      <c r="F6" s="37" t="s">
        <v>12</v>
      </c>
      <c r="G6" s="24" t="s">
        <v>51</v>
      </c>
      <c r="H6" s="40">
        <v>25</v>
      </c>
      <c r="I6" s="40" t="s">
        <v>19</v>
      </c>
      <c r="J6" s="59">
        <v>2.27</v>
      </c>
    </row>
    <row r="7" spans="1:10" ht="80.150000000000006" customHeight="1" x14ac:dyDescent="0.35">
      <c r="A7" s="78" t="str">
        <f>IF($B$1&gt;150,"-",IF($B$1&lt;25,"-","APLICA"))</f>
        <v>-</v>
      </c>
      <c r="B7" s="20" t="s">
        <v>6</v>
      </c>
      <c r="C7" s="18" t="s">
        <v>112</v>
      </c>
      <c r="D7" s="18" t="s">
        <v>52</v>
      </c>
      <c r="E7" s="18" t="s">
        <v>50</v>
      </c>
      <c r="F7" s="37" t="s">
        <v>12</v>
      </c>
      <c r="G7" s="23" t="s">
        <v>53</v>
      </c>
      <c r="H7" s="40">
        <v>30</v>
      </c>
      <c r="I7" s="40" t="s">
        <v>19</v>
      </c>
      <c r="J7" s="59">
        <v>2.31</v>
      </c>
    </row>
    <row r="8" spans="1:10" ht="80.150000000000006" customHeight="1" x14ac:dyDescent="0.35">
      <c r="A8" s="78" t="str">
        <f>IF($B$1&gt;100,"-",IF($B$1&lt;40,"-","APLICA"))</f>
        <v>-</v>
      </c>
      <c r="B8" s="20" t="s">
        <v>54</v>
      </c>
      <c r="C8" s="18" t="s">
        <v>61</v>
      </c>
      <c r="D8" s="18" t="s">
        <v>63</v>
      </c>
      <c r="E8" s="18" t="s">
        <v>65</v>
      </c>
      <c r="F8" s="37" t="s">
        <v>11</v>
      </c>
      <c r="G8" s="24" t="s">
        <v>64</v>
      </c>
      <c r="H8" s="40">
        <v>25</v>
      </c>
      <c r="I8" s="40" t="s">
        <v>19</v>
      </c>
      <c r="J8" s="59">
        <v>1.9</v>
      </c>
    </row>
    <row r="9" spans="1:10" ht="80.150000000000006" customHeight="1" x14ac:dyDescent="0.35">
      <c r="A9" s="78" t="str">
        <f>IF($B$1&gt;6,"-",IF($B$1&lt;2,"-","APLICA"))</f>
        <v>APLICA</v>
      </c>
      <c r="B9" s="20" t="s">
        <v>14</v>
      </c>
      <c r="C9" s="18" t="s">
        <v>55</v>
      </c>
      <c r="D9" s="18" t="s">
        <v>56</v>
      </c>
      <c r="E9" s="18" t="s">
        <v>10</v>
      </c>
      <c r="F9" s="37" t="s">
        <v>92</v>
      </c>
      <c r="G9" s="24" t="s">
        <v>57</v>
      </c>
      <c r="H9" s="40">
        <v>30</v>
      </c>
      <c r="I9" s="40" t="s">
        <v>19</v>
      </c>
      <c r="J9" s="60">
        <v>1.56</v>
      </c>
    </row>
    <row r="10" spans="1:10" ht="80.150000000000006" customHeight="1" x14ac:dyDescent="0.35">
      <c r="A10" s="78" t="str">
        <f>IF($B$1&gt;30,"-",IF($B$1&lt;7,"-","APLICA"))</f>
        <v>-</v>
      </c>
      <c r="B10" s="20" t="s">
        <v>5</v>
      </c>
      <c r="C10" s="18" t="s">
        <v>62</v>
      </c>
      <c r="D10" s="18" t="s">
        <v>59</v>
      </c>
      <c r="E10" s="18" t="s">
        <v>58</v>
      </c>
      <c r="F10" s="37" t="s">
        <v>11</v>
      </c>
      <c r="G10" s="24" t="s">
        <v>60</v>
      </c>
      <c r="H10" s="40">
        <v>30</v>
      </c>
      <c r="I10" s="40" t="s">
        <v>19</v>
      </c>
      <c r="J10" s="59">
        <v>2.2000000000000002</v>
      </c>
    </row>
    <row r="11" spans="1:10" ht="80.150000000000006" customHeight="1" x14ac:dyDescent="0.35">
      <c r="A11" s="78" t="str">
        <f t="shared" ref="A11:A18" si="0">IF($B$1&gt;5,"-",IF($B$1&lt;1,"-","APLICA"))</f>
        <v>APLICA</v>
      </c>
      <c r="B11" s="21" t="s">
        <v>81</v>
      </c>
      <c r="C11" s="33" t="s">
        <v>113</v>
      </c>
      <c r="D11" s="18" t="s">
        <v>90</v>
      </c>
      <c r="E11" s="18" t="s">
        <v>88</v>
      </c>
      <c r="F11" s="40" t="s">
        <v>12</v>
      </c>
      <c r="G11" s="33" t="s">
        <v>91</v>
      </c>
      <c r="H11" s="40">
        <v>30</v>
      </c>
      <c r="I11" s="40" t="s">
        <v>19</v>
      </c>
      <c r="J11" s="59">
        <v>2.2000000000000002</v>
      </c>
    </row>
    <row r="12" spans="1:10" ht="80.150000000000006" customHeight="1" x14ac:dyDescent="0.35">
      <c r="A12" s="78" t="str">
        <f t="shared" si="0"/>
        <v>APLICA</v>
      </c>
      <c r="B12" s="20" t="s">
        <v>76</v>
      </c>
      <c r="C12" s="35" t="s">
        <v>114</v>
      </c>
      <c r="D12" s="18" t="s">
        <v>70</v>
      </c>
      <c r="E12" s="18" t="s">
        <v>20</v>
      </c>
      <c r="F12" s="40" t="s">
        <v>12</v>
      </c>
      <c r="G12" s="35" t="s">
        <v>71</v>
      </c>
      <c r="H12" s="40">
        <v>22</v>
      </c>
      <c r="I12" s="40" t="s">
        <v>19</v>
      </c>
      <c r="J12" s="59">
        <v>2</v>
      </c>
    </row>
    <row r="13" spans="1:10" s="56" customFormat="1" ht="80.150000000000006" customHeight="1" x14ac:dyDescent="0.35">
      <c r="A13" s="78" t="str">
        <f t="shared" si="0"/>
        <v>APLICA</v>
      </c>
      <c r="B13" s="20" t="s">
        <v>75</v>
      </c>
      <c r="C13" s="36" t="s">
        <v>115</v>
      </c>
      <c r="D13" s="18" t="s">
        <v>70</v>
      </c>
      <c r="E13" s="18" t="s">
        <v>20</v>
      </c>
      <c r="F13" s="40" t="s">
        <v>12</v>
      </c>
      <c r="G13" s="36" t="s">
        <v>71</v>
      </c>
      <c r="H13" s="40">
        <v>24</v>
      </c>
      <c r="I13" s="40" t="s">
        <v>19</v>
      </c>
      <c r="J13" s="59">
        <v>2</v>
      </c>
    </row>
    <row r="14" spans="1:10" s="62" customFormat="1" ht="80.150000000000006" customHeight="1" x14ac:dyDescent="0.35">
      <c r="A14" s="79" t="str">
        <f t="shared" si="0"/>
        <v>APLICA</v>
      </c>
      <c r="B14" s="20" t="s">
        <v>38</v>
      </c>
      <c r="C14" s="18" t="s">
        <v>116</v>
      </c>
      <c r="D14" s="18" t="s">
        <v>95</v>
      </c>
      <c r="E14" s="18" t="s">
        <v>20</v>
      </c>
      <c r="F14" s="18" t="s">
        <v>94</v>
      </c>
      <c r="G14" s="61" t="s">
        <v>72</v>
      </c>
      <c r="H14" s="40">
        <v>28</v>
      </c>
      <c r="I14" s="40" t="s">
        <v>19</v>
      </c>
      <c r="J14" s="59">
        <v>2.15</v>
      </c>
    </row>
    <row r="15" spans="1:10" ht="80.150000000000006" customHeight="1" x14ac:dyDescent="0.35">
      <c r="A15" s="78" t="str">
        <f t="shared" si="0"/>
        <v>APLICA</v>
      </c>
      <c r="B15" s="20" t="s">
        <v>39</v>
      </c>
      <c r="C15" s="18" t="s">
        <v>117</v>
      </c>
      <c r="D15" s="18" t="s">
        <v>95</v>
      </c>
      <c r="E15" s="18" t="s">
        <v>20</v>
      </c>
      <c r="F15" s="37" t="s">
        <v>94</v>
      </c>
      <c r="G15" s="24" t="s">
        <v>72</v>
      </c>
      <c r="H15" s="40">
        <v>32</v>
      </c>
      <c r="I15" s="40" t="s">
        <v>19</v>
      </c>
      <c r="J15" s="59">
        <v>2.15</v>
      </c>
    </row>
    <row r="16" spans="1:10" ht="80.150000000000006" customHeight="1" x14ac:dyDescent="0.35">
      <c r="A16" s="78" t="str">
        <f t="shared" si="0"/>
        <v>APLICA</v>
      </c>
      <c r="B16" s="20" t="s">
        <v>79</v>
      </c>
      <c r="C16" s="33" t="s">
        <v>118</v>
      </c>
      <c r="D16" s="18" t="s">
        <v>82</v>
      </c>
      <c r="E16" s="18" t="s">
        <v>83</v>
      </c>
      <c r="F16" s="40" t="s">
        <v>12</v>
      </c>
      <c r="G16" s="36" t="s">
        <v>84</v>
      </c>
      <c r="H16" s="40">
        <v>32</v>
      </c>
      <c r="I16" s="40" t="s">
        <v>19</v>
      </c>
      <c r="J16" s="59">
        <v>2.2799999999999998</v>
      </c>
    </row>
    <row r="17" spans="1:10" ht="80.150000000000006" customHeight="1" x14ac:dyDescent="0.35">
      <c r="A17" s="78" t="str">
        <f t="shared" si="0"/>
        <v>APLICA</v>
      </c>
      <c r="B17" s="20" t="s">
        <v>80</v>
      </c>
      <c r="C17" s="33" t="s">
        <v>113</v>
      </c>
      <c r="D17" s="18" t="s">
        <v>82</v>
      </c>
      <c r="E17" s="18" t="s">
        <v>83</v>
      </c>
      <c r="F17" s="40" t="s">
        <v>12</v>
      </c>
      <c r="G17" s="36" t="s">
        <v>84</v>
      </c>
      <c r="H17" s="40">
        <v>30</v>
      </c>
      <c r="I17" s="40" t="s">
        <v>19</v>
      </c>
      <c r="J17" s="59">
        <v>2.2799999999999998</v>
      </c>
    </row>
    <row r="18" spans="1:10" ht="80.150000000000006" customHeight="1" x14ac:dyDescent="0.35">
      <c r="A18" s="78" t="str">
        <f t="shared" si="0"/>
        <v>APLICA</v>
      </c>
      <c r="B18" s="20" t="s">
        <v>78</v>
      </c>
      <c r="C18" s="33" t="s">
        <v>119</v>
      </c>
      <c r="D18" s="18" t="s">
        <v>82</v>
      </c>
      <c r="E18" s="18" t="s">
        <v>83</v>
      </c>
      <c r="F18" s="40" t="s">
        <v>12</v>
      </c>
      <c r="G18" s="36" t="s">
        <v>84</v>
      </c>
      <c r="H18" s="40">
        <v>30</v>
      </c>
      <c r="I18" s="40" t="s">
        <v>19</v>
      </c>
      <c r="J18" s="59">
        <v>2.2799999999999998</v>
      </c>
    </row>
    <row r="19" spans="1:10" ht="80.150000000000006" customHeight="1" x14ac:dyDescent="0.35">
      <c r="A19" s="78" t="str">
        <f>IF($B$1&gt;20,"-",IF($B$1&lt;5,"-","APLICA"))</f>
        <v>-</v>
      </c>
      <c r="B19" s="20" t="s">
        <v>77</v>
      </c>
      <c r="C19" s="33" t="s">
        <v>120</v>
      </c>
      <c r="D19" s="18" t="s">
        <v>82</v>
      </c>
      <c r="E19" s="18" t="s">
        <v>83</v>
      </c>
      <c r="F19" s="40" t="s">
        <v>12</v>
      </c>
      <c r="G19" s="36" t="s">
        <v>84</v>
      </c>
      <c r="H19" s="40">
        <v>32</v>
      </c>
      <c r="I19" s="40" t="s">
        <v>19</v>
      </c>
      <c r="J19" s="59">
        <v>2.2799999999999998</v>
      </c>
    </row>
    <row r="20" spans="1:10" ht="80.150000000000006" customHeight="1" x14ac:dyDescent="0.35">
      <c r="A20" s="78" t="str">
        <f>IF($B$1&gt;20,"-",IF($B$1&lt;5,"-","APLICA"))</f>
        <v>-</v>
      </c>
      <c r="B20" s="20" t="s">
        <v>33</v>
      </c>
      <c r="C20" s="18" t="s">
        <v>34</v>
      </c>
      <c r="D20" s="18" t="s">
        <v>35</v>
      </c>
      <c r="E20" s="18" t="s">
        <v>36</v>
      </c>
      <c r="F20" s="37" t="s">
        <v>94</v>
      </c>
      <c r="G20" s="22" t="s">
        <v>37</v>
      </c>
      <c r="H20" s="40">
        <v>28</v>
      </c>
      <c r="I20" s="40" t="s">
        <v>19</v>
      </c>
      <c r="J20" s="59">
        <v>2.2000000000000002</v>
      </c>
    </row>
    <row r="21" spans="1:10" ht="80.150000000000006" customHeight="1" x14ac:dyDescent="0.35">
      <c r="A21" s="78" t="str">
        <f>IF($B$1&gt;10,"-",IF($B$1&lt;1.6,"-","APLICA"))</f>
        <v>APLICA</v>
      </c>
      <c r="B21" s="20" t="s">
        <v>21</v>
      </c>
      <c r="C21" s="18" t="s">
        <v>44</v>
      </c>
      <c r="D21" s="18" t="s">
        <v>45</v>
      </c>
      <c r="E21" s="18" t="s">
        <v>46</v>
      </c>
      <c r="F21" s="37" t="s">
        <v>93</v>
      </c>
      <c r="G21" s="24" t="s">
        <v>74</v>
      </c>
      <c r="H21" s="40">
        <v>25</v>
      </c>
      <c r="I21" s="40" t="s">
        <v>19</v>
      </c>
      <c r="J21" s="59">
        <v>2</v>
      </c>
    </row>
    <row r="22" spans="1:10" ht="80.150000000000006" customHeight="1" x14ac:dyDescent="0.35">
      <c r="A22" s="78" t="str">
        <f>IF($B$1&gt;150,"-",IF($B$1&lt;6,"-","APLICA"))</f>
        <v>-</v>
      </c>
      <c r="B22" s="32" t="s">
        <v>7</v>
      </c>
      <c r="C22" s="33" t="s">
        <v>66</v>
      </c>
      <c r="D22" s="31" t="s">
        <v>67</v>
      </c>
      <c r="E22" s="18" t="s">
        <v>68</v>
      </c>
      <c r="F22" s="40" t="s">
        <v>13</v>
      </c>
      <c r="G22" s="36" t="s">
        <v>69</v>
      </c>
      <c r="H22" s="40">
        <v>22.7</v>
      </c>
      <c r="I22" s="40" t="s">
        <v>19</v>
      </c>
      <c r="J22" s="60">
        <v>2.06</v>
      </c>
    </row>
    <row r="23" spans="1:10" ht="80.150000000000006" customHeight="1" thickBot="1" x14ac:dyDescent="0.4">
      <c r="A23" s="80" t="str">
        <f>IF($B$1&gt;10,"-",IF($B$1&lt;100,"-","APLICA"))</f>
        <v>-</v>
      </c>
      <c r="B23" s="81" t="s">
        <v>85</v>
      </c>
      <c r="C23" s="82" t="s">
        <v>86</v>
      </c>
      <c r="D23" s="83" t="s">
        <v>87</v>
      </c>
      <c r="E23" s="83" t="s">
        <v>83</v>
      </c>
      <c r="F23" s="84"/>
      <c r="G23" s="82" t="s">
        <v>89</v>
      </c>
      <c r="H23" s="84">
        <v>30</v>
      </c>
      <c r="I23" s="84" t="s">
        <v>19</v>
      </c>
      <c r="J23" s="85">
        <v>2.2799999999999998</v>
      </c>
    </row>
    <row r="24" spans="1:10" ht="80.150000000000006" customHeight="1" x14ac:dyDescent="0.35"/>
    <row r="25" spans="1:10" ht="80.150000000000006" customHeight="1" x14ac:dyDescent="0.35"/>
    <row r="26" spans="1:10" ht="80.150000000000006" customHeight="1" x14ac:dyDescent="0.35"/>
    <row r="27" spans="1:10" ht="80.150000000000006" customHeight="1" x14ac:dyDescent="0.35"/>
    <row r="28" spans="1:10" ht="80.150000000000006" customHeight="1" x14ac:dyDescent="0.35"/>
  </sheetData>
  <sortState ref="A5:I23">
    <sortCondition ref="B5:B23"/>
  </sortState>
  <conditionalFormatting sqref="B8:B16 B21:B23">
    <cfRule type="cellIs" dxfId="18" priority="1" operator="greaterThan">
      <formula>$O$16&gt;0</formula>
    </cfRule>
    <cfRule type="cellIs" dxfId="17" priority="2" operator="greaterThan">
      <formula>$O$16&gt;1</formula>
    </cfRule>
  </conditionalFormatting>
  <conditionalFormatting sqref="B5:B6">
    <cfRule type="cellIs" dxfId="16" priority="18" operator="greaterThan">
      <formula>$O$16&gt;0</formula>
    </cfRule>
    <cfRule type="cellIs" dxfId="15" priority="19" operator="greaterThan">
      <formula>$O$16&gt;1</formula>
    </cfRule>
  </conditionalFormatting>
  <conditionalFormatting sqref="A16">
    <cfRule type="containsText" dxfId="14" priority="15" operator="containsText" text="APLICA">
      <formula>NOT(ISERROR(SEARCH("APLICA",A16)))</formula>
    </cfRule>
  </conditionalFormatting>
  <conditionalFormatting sqref="A22:A23">
    <cfRule type="containsText" dxfId="13" priority="14" operator="containsText" text="APLICA">
      <formula>NOT(ISERROR(SEARCH("APLICA",A22)))</formula>
    </cfRule>
  </conditionalFormatting>
  <conditionalFormatting sqref="A22:A23">
    <cfRule type="containsText" dxfId="12" priority="13" operator="containsText" text="APLICA">
      <formula>NOT(ISERROR(SEARCH("APLICA",A22)))</formula>
    </cfRule>
  </conditionalFormatting>
  <conditionalFormatting sqref="A5 A12:A15 A17:A21">
    <cfRule type="containsText" dxfId="11" priority="17" operator="containsText" text="APLICA">
      <formula>NOT(ISERROR(SEARCH("APLICA",A5)))</formula>
    </cfRule>
  </conditionalFormatting>
  <conditionalFormatting sqref="A6:A16">
    <cfRule type="containsText" dxfId="10" priority="16" operator="containsText" text="APLICA">
      <formula>NOT(ISERROR(SEARCH("APLICA",A6)))</formula>
    </cfRule>
  </conditionalFormatting>
  <conditionalFormatting sqref="B7">
    <cfRule type="cellIs" dxfId="9" priority="11" operator="greaterThan">
      <formula>$O$16&gt;0</formula>
    </cfRule>
    <cfRule type="cellIs" dxfId="8" priority="12" operator="greaterThan">
      <formula>$O$16&gt;1</formula>
    </cfRule>
  </conditionalFormatting>
  <conditionalFormatting sqref="B17">
    <cfRule type="cellIs" dxfId="7" priority="9" operator="greaterThan">
      <formula>$O$16&gt;0</formula>
    </cfRule>
    <cfRule type="cellIs" dxfId="6" priority="10" operator="greaterThan">
      <formula>$O$16&gt;1</formula>
    </cfRule>
  </conditionalFormatting>
  <conditionalFormatting sqref="B18">
    <cfRule type="cellIs" dxfId="5" priority="7" operator="greaterThan">
      <formula>$O$16&gt;0</formula>
    </cfRule>
    <cfRule type="cellIs" dxfId="4" priority="8" operator="greaterThan">
      <formula>$O$16&gt;1</formula>
    </cfRule>
  </conditionalFormatting>
  <conditionalFormatting sqref="B19">
    <cfRule type="cellIs" dxfId="3" priority="5" operator="greaterThan">
      <formula>$O$16&gt;0</formula>
    </cfRule>
    <cfRule type="cellIs" dxfId="2" priority="6" operator="greaterThan">
      <formula>$O$16&gt;1</formula>
    </cfRule>
  </conditionalFormatting>
  <conditionalFormatting sqref="B20">
    <cfRule type="cellIs" dxfId="1" priority="3" operator="greaterThan">
      <formula>$O$16&gt;0</formula>
    </cfRule>
    <cfRule type="cellIs" dxfId="0" priority="4" operator="greaterThan">
      <formula>$O$16&gt;1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REPARACIONES HORIZONTALES</vt:lpstr>
      <vt:lpstr>GUÍA DE SELECCIÓN</vt:lpstr>
      <vt:lpstr>LISTADO</vt:lpstr>
      <vt:lpstr>'GUÍA DE SELECCIÓN'!Área_de_impresión</vt:lpstr>
      <vt:lpstr>'REPARACIONES HORIZONTALES'!Área_de_impresión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backup1</dc:creator>
  <cp:lastModifiedBy>backup1</cp:lastModifiedBy>
  <cp:lastPrinted>2020-08-13T15:09:25Z</cp:lastPrinted>
  <dcterms:created xsi:type="dcterms:W3CDTF">2020-06-10T23:44:02Z</dcterms:created>
  <dcterms:modified xsi:type="dcterms:W3CDTF">2020-08-13T15:12:22Z</dcterms:modified>
</cp:coreProperties>
</file>